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juliofg\Documents\Meus Documentos\2018\Centralização\1-SUL\Santa Catarina\"/>
    </mc:Choice>
  </mc:AlternateContent>
  <bookViews>
    <workbookView xWindow="0" yWindow="0" windowWidth="24000" windowHeight="9720"/>
  </bookViews>
  <sheets>
    <sheet name="PLAN ORC" sheetId="13" r:id="rId1"/>
    <sheet name="CCU" sheetId="8" r:id="rId2"/>
    <sheet name="MAPA COTAÇÃO" sheetId="16" r:id="rId3"/>
    <sheet name="ENCARGOS" sheetId="18" r:id="rId4"/>
    <sheet name="BDI" sheetId="14" r:id="rId5"/>
    <sheet name="Ar Cond-SC" sheetId="19" r:id="rId6"/>
  </sheets>
  <definedNames>
    <definedName name="_xlnm.Print_Area" localSheetId="1">CCU!$B$2:$G$1444</definedName>
    <definedName name="_xlnm.Print_Area" localSheetId="3">ENCARGOS!$A$1:$J$38</definedName>
    <definedName name="_xlnm.Print_Area" localSheetId="2">'MAPA COTAÇÃO'!$B$15:$J$20</definedName>
    <definedName name="_xlnm.Print_Area" localSheetId="0">'PLAN ORC'!$B$2:$I$234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16" i="8" l="1"/>
  <c r="J164" i="16"/>
  <c r="J162" i="16"/>
  <c r="J163" i="16"/>
  <c r="F259" i="8"/>
  <c r="F262" i="8"/>
  <c r="D144" i="13"/>
  <c r="C144" i="13"/>
  <c r="B144" i="13"/>
  <c r="G1135" i="8"/>
  <c r="G1134" i="8"/>
  <c r="G1133" i="8"/>
  <c r="G1132" i="8"/>
  <c r="G1131" i="8"/>
  <c r="G1130" i="8"/>
  <c r="G1129" i="8"/>
  <c r="G1128" i="8"/>
  <c r="G1127" i="8"/>
  <c r="G1126" i="8"/>
  <c r="G1125" i="8"/>
  <c r="G1122" i="8"/>
  <c r="G1121" i="8"/>
  <c r="G1120" i="8"/>
  <c r="J144" i="13"/>
  <c r="B166" i="8"/>
  <c r="F154" i="16"/>
  <c r="H154" i="16"/>
  <c r="F147" i="16"/>
  <c r="H147" i="16"/>
  <c r="G147" i="16"/>
  <c r="F140" i="16"/>
  <c r="G140" i="16"/>
  <c r="F105" i="16"/>
  <c r="F91" i="16"/>
  <c r="F90" i="16"/>
  <c r="F89" i="16"/>
  <c r="F88" i="16"/>
  <c r="F87" i="16"/>
  <c r="G1123" i="8" l="1"/>
  <c r="F144" i="13" s="1"/>
  <c r="G1136" i="8"/>
  <c r="G1138" i="8" l="1"/>
  <c r="G144" i="13"/>
  <c r="H144" i="13"/>
  <c r="I144" i="13" s="1"/>
  <c r="F80" i="16" l="1"/>
  <c r="H66" i="16"/>
  <c r="H65" i="16"/>
  <c r="I47" i="16"/>
  <c r="F47" i="16" l="1"/>
  <c r="F48" i="16"/>
  <c r="H48" i="16"/>
  <c r="J225" i="13" l="1"/>
  <c r="D225" i="13"/>
  <c r="C225" i="13"/>
  <c r="B225" i="13"/>
  <c r="C224" i="13"/>
  <c r="B224" i="13"/>
  <c r="G1625" i="8"/>
  <c r="G1624" i="8"/>
  <c r="F66" i="16"/>
  <c r="F65" i="16"/>
  <c r="G1626" i="8" l="1"/>
  <c r="G1628" i="8" s="1"/>
  <c r="F225" i="13"/>
  <c r="H225" i="13" s="1"/>
  <c r="I225" i="13" s="1"/>
  <c r="G48" i="16"/>
  <c r="G47" i="16"/>
  <c r="G73" i="16" l="1"/>
  <c r="G25" i="16" l="1"/>
  <c r="H25" i="16"/>
  <c r="F25" i="16"/>
  <c r="E223" i="13" l="1"/>
  <c r="J217" i="13" l="1"/>
  <c r="D217" i="13"/>
  <c r="C217" i="13"/>
  <c r="B217" i="13"/>
  <c r="G1575" i="8"/>
  <c r="G1574" i="8"/>
  <c r="G1576" i="8" l="1"/>
  <c r="F217" i="13" s="1"/>
  <c r="F1578" i="8" l="1"/>
  <c r="G1578" i="8" s="1"/>
  <c r="G1579" i="8" s="1"/>
  <c r="G1581" i="8" s="1"/>
  <c r="G217" i="13"/>
  <c r="M37" i="19"/>
  <c r="M36" i="19"/>
  <c r="P35" i="19"/>
  <c r="M34" i="19"/>
  <c r="M33" i="19"/>
  <c r="P32" i="19"/>
  <c r="P31" i="19"/>
  <c r="P30" i="19"/>
  <c r="M29" i="19"/>
  <c r="M28" i="19"/>
  <c r="P27" i="19"/>
  <c r="P26" i="19"/>
  <c r="Z28" i="19"/>
  <c r="M25" i="19"/>
  <c r="T20" i="19" s="1"/>
  <c r="Z27" i="19"/>
  <c r="P24" i="19"/>
  <c r="Z26" i="19"/>
  <c r="P23" i="19"/>
  <c r="Z25" i="19"/>
  <c r="T25" i="19"/>
  <c r="U25" i="19" s="1"/>
  <c r="M22" i="19"/>
  <c r="Z24" i="19"/>
  <c r="M21" i="19"/>
  <c r="P20" i="19"/>
  <c r="Z22" i="19"/>
  <c r="M19" i="19"/>
  <c r="Z21" i="19"/>
  <c r="T21" i="19"/>
  <c r="U21" i="19" s="1"/>
  <c r="Z20" i="19"/>
  <c r="Z19" i="19"/>
  <c r="Z18" i="19"/>
  <c r="Z16" i="19"/>
  <c r="Z15" i="19"/>
  <c r="J12" i="19"/>
  <c r="Z14" i="19"/>
  <c r="J11" i="19"/>
  <c r="Z13" i="19"/>
  <c r="J10" i="19"/>
  <c r="Z12" i="19"/>
  <c r="J9" i="19"/>
  <c r="Z9" i="19"/>
  <c r="J8" i="19"/>
  <c r="Z8" i="19"/>
  <c r="M7" i="19"/>
  <c r="J7" i="19"/>
  <c r="Z7" i="19"/>
  <c r="Z6" i="19"/>
  <c r="P6" i="19"/>
  <c r="J6" i="19"/>
  <c r="Z5" i="19"/>
  <c r="T26" i="19" l="1"/>
  <c r="V26" i="19" s="1"/>
  <c r="T6" i="19"/>
  <c r="U6" i="19" s="1"/>
  <c r="V21" i="19"/>
  <c r="V20" i="19"/>
  <c r="U20" i="19"/>
  <c r="T14" i="19"/>
  <c r="V14" i="19" s="1"/>
  <c r="V25" i="19"/>
  <c r="T19" i="19"/>
  <c r="U19" i="19" s="1"/>
  <c r="T27" i="19"/>
  <c r="U27" i="19" s="1"/>
  <c r="T13" i="19"/>
  <c r="V13" i="19" s="1"/>
  <c r="T15" i="19"/>
  <c r="V15" i="19" s="1"/>
  <c r="T7" i="19"/>
  <c r="V7" i="19" s="1"/>
  <c r="T8" i="19"/>
  <c r="E74" i="13"/>
  <c r="F241" i="8"/>
  <c r="F238" i="8"/>
  <c r="U22" i="19" l="1"/>
  <c r="F208" i="13" s="1"/>
  <c r="V6" i="19"/>
  <c r="U26" i="19"/>
  <c r="U28" i="19" s="1"/>
  <c r="F227" i="13" s="1"/>
  <c r="G227" i="13" s="1"/>
  <c r="H227" i="13" s="1"/>
  <c r="I227" i="13" s="1"/>
  <c r="U13" i="19"/>
  <c r="U15" i="19"/>
  <c r="V19" i="19"/>
  <c r="U14" i="19"/>
  <c r="U7" i="19"/>
  <c r="V27" i="19"/>
  <c r="U8" i="19"/>
  <c r="V8" i="19"/>
  <c r="U16" i="19" l="1"/>
  <c r="U9" i="19"/>
  <c r="U10" i="19" s="1"/>
  <c r="U30" i="19" s="1"/>
  <c r="F197" i="13"/>
  <c r="C203" i="13"/>
  <c r="D1432" i="8"/>
  <c r="D1431" i="8"/>
  <c r="C1432" i="8"/>
  <c r="C1431" i="8"/>
  <c r="B1432" i="8"/>
  <c r="B1431" i="8"/>
  <c r="E1146" i="8" l="1"/>
  <c r="E143" i="8"/>
  <c r="E142" i="8"/>
  <c r="E130" i="8"/>
  <c r="E129" i="8"/>
  <c r="D1546" i="8"/>
  <c r="C1546" i="8"/>
  <c r="D210" i="13"/>
  <c r="C210" i="13"/>
  <c r="B210" i="13"/>
  <c r="C209" i="13"/>
  <c r="B209" i="13"/>
  <c r="B1546" i="8"/>
  <c r="J172" i="16" l="1"/>
  <c r="J173" i="16"/>
  <c r="F1432" i="8" l="1"/>
  <c r="F1431" i="8"/>
  <c r="E668" i="8"/>
  <c r="E669" i="8"/>
  <c r="E670" i="8"/>
  <c r="E671" i="8"/>
  <c r="E667" i="8"/>
  <c r="J218" i="13"/>
  <c r="J152" i="13"/>
  <c r="J129" i="13"/>
  <c r="J128" i="13"/>
  <c r="J126" i="13"/>
  <c r="J111" i="13"/>
  <c r="J12" i="13"/>
  <c r="D180" i="13"/>
  <c r="D128" i="13"/>
  <c r="C182" i="13"/>
  <c r="B182" i="13"/>
  <c r="D1616" i="8" l="1"/>
  <c r="C1616" i="8"/>
  <c r="D1609" i="8"/>
  <c r="C1609" i="8"/>
  <c r="C529" i="8"/>
  <c r="C53" i="8"/>
  <c r="J171" i="16" l="1"/>
  <c r="F1546" i="8" s="1"/>
  <c r="G1546" i="8" s="1"/>
  <c r="G1547" i="8" l="1"/>
  <c r="F1549" i="8" s="1"/>
  <c r="G1549" i="8" s="1"/>
  <c r="G1550" i="8" s="1"/>
  <c r="G210" i="13" s="1"/>
  <c r="B1423" i="8"/>
  <c r="B1416" i="8"/>
  <c r="H105" i="16"/>
  <c r="F210" i="13" l="1"/>
  <c r="H210" i="13" s="1"/>
  <c r="I210" i="13" s="1"/>
  <c r="G1552" i="8"/>
  <c r="J213" i="13"/>
  <c r="D213" i="13"/>
  <c r="C213" i="13"/>
  <c r="C212" i="13"/>
  <c r="B213" i="13"/>
  <c r="B212" i="13"/>
  <c r="G1558" i="8"/>
  <c r="G1559" i="8" s="1"/>
  <c r="G1561" i="8" s="1"/>
  <c r="F213" i="13" l="1"/>
  <c r="H213" i="13" s="1"/>
  <c r="I213" i="13" s="1"/>
  <c r="J200" i="13"/>
  <c r="D200" i="13"/>
  <c r="C200" i="13"/>
  <c r="B200" i="13"/>
  <c r="C199" i="13"/>
  <c r="B199" i="13"/>
  <c r="H73" i="16"/>
  <c r="J223" i="13"/>
  <c r="J222" i="13"/>
  <c r="J221" i="13"/>
  <c r="D223" i="13"/>
  <c r="D222" i="13"/>
  <c r="D221" i="13"/>
  <c r="C223" i="13"/>
  <c r="C222" i="13"/>
  <c r="C221" i="13"/>
  <c r="C220" i="13"/>
  <c r="B223" i="13"/>
  <c r="B222" i="13"/>
  <c r="B221" i="13"/>
  <c r="B220" i="13"/>
  <c r="B1616" i="8"/>
  <c r="B1609" i="8"/>
  <c r="G1616" i="8"/>
  <c r="G1617" i="8" s="1"/>
  <c r="G1619" i="8" s="1"/>
  <c r="J161" i="16"/>
  <c r="F1609" i="8" s="1"/>
  <c r="G1609" i="8" s="1"/>
  <c r="G1610" i="8" s="1"/>
  <c r="G1612" i="8" s="1"/>
  <c r="G1601" i="8"/>
  <c r="F73" i="16"/>
  <c r="G1602" i="8"/>
  <c r="J219" i="13"/>
  <c r="D219" i="13"/>
  <c r="C219" i="13"/>
  <c r="B219" i="13"/>
  <c r="J215" i="13"/>
  <c r="B218" i="13"/>
  <c r="G1593" i="8"/>
  <c r="G1594" i="8" s="1"/>
  <c r="G1596" i="8" s="1"/>
  <c r="D218" i="13"/>
  <c r="C218" i="13"/>
  <c r="G1586" i="8"/>
  <c r="G1585" i="8"/>
  <c r="C216" i="13"/>
  <c r="B216" i="13"/>
  <c r="G1504" i="8"/>
  <c r="G1503" i="8"/>
  <c r="C211" i="13"/>
  <c r="B211" i="13"/>
  <c r="C214" i="13"/>
  <c r="B214" i="13"/>
  <c r="D215" i="13"/>
  <c r="C215" i="13"/>
  <c r="B215" i="13"/>
  <c r="G1566" i="8"/>
  <c r="J73" i="16" l="1"/>
  <c r="G1587" i="8"/>
  <c r="G1589" i="8" s="1"/>
  <c r="F218" i="13" s="1"/>
  <c r="G223" i="13"/>
  <c r="G222" i="13"/>
  <c r="G1603" i="8"/>
  <c r="F219" i="13"/>
  <c r="H219" i="13" s="1"/>
  <c r="G1505" i="8"/>
  <c r="F200" i="13" s="1"/>
  <c r="G1567" i="8"/>
  <c r="D671" i="8"/>
  <c r="D670" i="8"/>
  <c r="D669" i="8"/>
  <c r="D668" i="8"/>
  <c r="D667" i="8"/>
  <c r="C671" i="8"/>
  <c r="C670" i="8"/>
  <c r="C669" i="8"/>
  <c r="C668" i="8"/>
  <c r="C667" i="8"/>
  <c r="B671" i="8"/>
  <c r="B670" i="8"/>
  <c r="B669" i="8"/>
  <c r="B668" i="8"/>
  <c r="B667" i="8"/>
  <c r="G90" i="16"/>
  <c r="J90" i="16" s="1"/>
  <c r="F670" i="8" s="1"/>
  <c r="J91" i="16"/>
  <c r="F671" i="8" s="1"/>
  <c r="J89" i="16"/>
  <c r="F669" i="8" s="1"/>
  <c r="J88" i="16"/>
  <c r="F668" i="8" s="1"/>
  <c r="J87" i="16"/>
  <c r="F667" i="8" s="1"/>
  <c r="J206" i="13"/>
  <c r="J205" i="13"/>
  <c r="D206" i="13"/>
  <c r="D205" i="13"/>
  <c r="C206" i="13"/>
  <c r="C205" i="13"/>
  <c r="B206" i="13"/>
  <c r="B205" i="13"/>
  <c r="C204" i="13"/>
  <c r="B204" i="13"/>
  <c r="J203" i="13"/>
  <c r="J202" i="13"/>
  <c r="G1538" i="8"/>
  <c r="G1537" i="8"/>
  <c r="G1521" i="8"/>
  <c r="G1530" i="8"/>
  <c r="G1529" i="8"/>
  <c r="D203" i="13"/>
  <c r="D202" i="13"/>
  <c r="C202" i="13"/>
  <c r="B203" i="13"/>
  <c r="B202" i="13"/>
  <c r="C201" i="13"/>
  <c r="B201" i="13"/>
  <c r="C198" i="13"/>
  <c r="B198" i="13"/>
  <c r="G1520" i="8"/>
  <c r="G1513" i="8"/>
  <c r="G1512" i="8"/>
  <c r="J195" i="13"/>
  <c r="D195" i="13"/>
  <c r="C195" i="13"/>
  <c r="B195" i="13"/>
  <c r="C194" i="13"/>
  <c r="B194" i="13"/>
  <c r="G1494" i="8"/>
  <c r="G1495" i="8" s="1"/>
  <c r="G1497" i="8" s="1"/>
  <c r="F195" i="13" s="1"/>
  <c r="J193" i="13"/>
  <c r="D193" i="13"/>
  <c r="C193" i="13"/>
  <c r="B193" i="13"/>
  <c r="C192" i="13"/>
  <c r="B192" i="13"/>
  <c r="C191" i="13"/>
  <c r="B191" i="13"/>
  <c r="G1486" i="8"/>
  <c r="G1487" i="8" s="1"/>
  <c r="G1489" i="8" s="1"/>
  <c r="F193" i="13" s="1"/>
  <c r="J190" i="13"/>
  <c r="D190" i="13"/>
  <c r="C190" i="13"/>
  <c r="C189" i="13"/>
  <c r="B190" i="13"/>
  <c r="B189" i="13"/>
  <c r="C188" i="13"/>
  <c r="B188" i="13"/>
  <c r="C187" i="13"/>
  <c r="B187" i="13"/>
  <c r="G1474" i="8"/>
  <c r="G1475" i="8" s="1"/>
  <c r="F190" i="13" s="1"/>
  <c r="J183" i="13"/>
  <c r="D183" i="13"/>
  <c r="C183" i="13"/>
  <c r="B183" i="13"/>
  <c r="G1448" i="8"/>
  <c r="G1461" i="8"/>
  <c r="J185" i="13"/>
  <c r="D185" i="13"/>
  <c r="C185" i="13"/>
  <c r="B185" i="13"/>
  <c r="C184" i="13"/>
  <c r="B184" i="13"/>
  <c r="G1460" i="8"/>
  <c r="G1464" i="8"/>
  <c r="G1465" i="8" s="1"/>
  <c r="G185" i="13" s="1"/>
  <c r="G1459" i="8"/>
  <c r="H200" i="13" l="1"/>
  <c r="I200" i="13" s="1"/>
  <c r="G1605" i="8"/>
  <c r="F221" i="13"/>
  <c r="G668" i="8"/>
  <c r="G671" i="8"/>
  <c r="G669" i="8"/>
  <c r="G1507" i="8"/>
  <c r="G1569" i="8"/>
  <c r="F215" i="13"/>
  <c r="G670" i="8"/>
  <c r="G1539" i="8"/>
  <c r="G1522" i="8"/>
  <c r="G1524" i="8" s="1"/>
  <c r="G1531" i="8"/>
  <c r="G1514" i="8"/>
  <c r="G1477" i="8"/>
  <c r="G1478" i="8" s="1"/>
  <c r="G1462" i="8"/>
  <c r="C172" i="13"/>
  <c r="G1533" i="8" l="1"/>
  <c r="F205" i="13"/>
  <c r="G1541" i="8"/>
  <c r="F206" i="13"/>
  <c r="F203" i="13"/>
  <c r="G1516" i="8"/>
  <c r="F202" i="13"/>
  <c r="G1480" i="8"/>
  <c r="G190" i="13"/>
  <c r="G1467" i="8"/>
  <c r="F185" i="13"/>
  <c r="H185" i="13" s="1"/>
  <c r="I185" i="13" s="1"/>
  <c r="G66" i="16"/>
  <c r="G65" i="16"/>
  <c r="J143" i="13"/>
  <c r="D143" i="13"/>
  <c r="C143" i="13"/>
  <c r="B143" i="13"/>
  <c r="G1113" i="8"/>
  <c r="G1112" i="8"/>
  <c r="G1111" i="8"/>
  <c r="G1110" i="8"/>
  <c r="G1107" i="8"/>
  <c r="G1106" i="8"/>
  <c r="G1114" i="8" l="1"/>
  <c r="G143" i="13" s="1"/>
  <c r="G1108" i="8"/>
  <c r="F143" i="13" s="1"/>
  <c r="J181" i="13"/>
  <c r="J180" i="13"/>
  <c r="D1423" i="8"/>
  <c r="C1423" i="8"/>
  <c r="J147" i="16"/>
  <c r="F1423" i="8" s="1"/>
  <c r="D1416" i="8"/>
  <c r="C1416" i="8"/>
  <c r="J140" i="16"/>
  <c r="F1416" i="8" s="1"/>
  <c r="D1147" i="8"/>
  <c r="D918" i="8"/>
  <c r="C918" i="8"/>
  <c r="B918" i="8"/>
  <c r="D871" i="8"/>
  <c r="C871" i="8"/>
  <c r="B871" i="8"/>
  <c r="D848" i="8"/>
  <c r="C848" i="8"/>
  <c r="B848" i="8"/>
  <c r="J119" i="16"/>
  <c r="F871" i="8" s="1"/>
  <c r="D838" i="8"/>
  <c r="C838" i="8"/>
  <c r="B838" i="8"/>
  <c r="D828" i="8"/>
  <c r="C828" i="8"/>
  <c r="B828" i="8"/>
  <c r="C66" i="16"/>
  <c r="C65" i="16"/>
  <c r="F1553" i="16"/>
  <c r="D1439" i="8"/>
  <c r="C1439" i="8"/>
  <c r="B1439" i="8"/>
  <c r="J154" i="16"/>
  <c r="F1439" i="8" s="1"/>
  <c r="D181" i="13"/>
  <c r="C181" i="13"/>
  <c r="B181" i="13"/>
  <c r="C1147" i="8"/>
  <c r="B1147" i="8"/>
  <c r="J66" i="16"/>
  <c r="J65" i="16"/>
  <c r="E739" i="8"/>
  <c r="E736" i="8"/>
  <c r="B46" i="13"/>
  <c r="E56" i="8"/>
  <c r="E55" i="8"/>
  <c r="E54" i="8"/>
  <c r="G1432" i="8" l="1"/>
  <c r="H143" i="13"/>
  <c r="I143" i="13" s="1"/>
  <c r="G1116" i="8"/>
  <c r="G181" i="13"/>
  <c r="H181" i="13" s="1"/>
  <c r="I181" i="13" s="1"/>
  <c r="G1439" i="8"/>
  <c r="G1440" i="8" s="1"/>
  <c r="G1442" i="8" s="1"/>
  <c r="G54" i="8"/>
  <c r="G56" i="8"/>
  <c r="G55" i="8"/>
  <c r="G77" i="8"/>
  <c r="G76" i="8"/>
  <c r="G394" i="8"/>
  <c r="G395" i="8"/>
  <c r="G398" i="8"/>
  <c r="G399" i="8" s="1"/>
  <c r="E904" i="8"/>
  <c r="E903" i="8"/>
  <c r="E892" i="8"/>
  <c r="E891" i="8"/>
  <c r="E879" i="8"/>
  <c r="E878" i="8"/>
  <c r="E856" i="8"/>
  <c r="E855" i="8"/>
  <c r="E825" i="8"/>
  <c r="G813" i="8"/>
  <c r="G812" i="8"/>
  <c r="E801" i="8"/>
  <c r="G801" i="8" s="1"/>
  <c r="E800" i="8"/>
  <c r="E790" i="8"/>
  <c r="G790" i="8" s="1"/>
  <c r="G791" i="8" s="1"/>
  <c r="E818" i="8"/>
  <c r="E817" i="8"/>
  <c r="E816" i="8"/>
  <c r="E777" i="8"/>
  <c r="E776" i="8"/>
  <c r="E763" i="8"/>
  <c r="E762" i="8"/>
  <c r="G307" i="8"/>
  <c r="G308" i="8"/>
  <c r="G302" i="8"/>
  <c r="G154" i="8"/>
  <c r="C26" i="13"/>
  <c r="E503" i="8"/>
  <c r="E502" i="8"/>
  <c r="E496" i="8"/>
  <c r="E495" i="8"/>
  <c r="E488" i="8"/>
  <c r="E487" i="8"/>
  <c r="E481" i="8"/>
  <c r="E480" i="8"/>
  <c r="E316" i="8"/>
  <c r="G316" i="8" s="1"/>
  <c r="E317" i="8"/>
  <c r="E204" i="8"/>
  <c r="E203" i="8"/>
  <c r="E117" i="8"/>
  <c r="E116" i="8"/>
  <c r="E104" i="8"/>
  <c r="E103" i="8"/>
  <c r="E91" i="8"/>
  <c r="E90" i="8"/>
  <c r="B87" i="13"/>
  <c r="E469" i="8"/>
  <c r="G371" i="8"/>
  <c r="D129" i="13"/>
  <c r="G1447" i="8"/>
  <c r="C179" i="13"/>
  <c r="C135" i="13"/>
  <c r="C95" i="13"/>
  <c r="B88" i="13"/>
  <c r="G1449" i="8" l="1"/>
  <c r="F183" i="13" s="1"/>
  <c r="G78" i="8"/>
  <c r="G396" i="8"/>
  <c r="G401" i="8" s="1"/>
  <c r="J178" i="13"/>
  <c r="D178" i="13"/>
  <c r="C178" i="13"/>
  <c r="B178" i="13"/>
  <c r="G1423" i="8"/>
  <c r="G1424" i="8" s="1"/>
  <c r="G1426" i="8" s="1"/>
  <c r="C180" i="13"/>
  <c r="J177" i="13"/>
  <c r="J176" i="13"/>
  <c r="D177" i="13"/>
  <c r="D176" i="13"/>
  <c r="C177" i="13"/>
  <c r="C176" i="13"/>
  <c r="B177" i="13"/>
  <c r="B176" i="13"/>
  <c r="F1451" i="8" l="1"/>
  <c r="G1451" i="8" s="1"/>
  <c r="G1452" i="8" s="1"/>
  <c r="G178" i="13"/>
  <c r="H178" i="13" s="1"/>
  <c r="I178" i="13" s="1"/>
  <c r="G1454" i="8" l="1"/>
  <c r="G183" i="13"/>
  <c r="G1416" i="8"/>
  <c r="G1417" i="8" l="1"/>
  <c r="G1419" i="8" s="1"/>
  <c r="G177" i="13"/>
  <c r="H177" i="13" s="1"/>
  <c r="I177" i="13" s="1"/>
  <c r="G1409" i="8"/>
  <c r="G1410" i="8" s="1"/>
  <c r="J175" i="13"/>
  <c r="D175" i="13"/>
  <c r="C175" i="13"/>
  <c r="B175" i="13"/>
  <c r="J173" i="13"/>
  <c r="D173" i="13"/>
  <c r="C173" i="13"/>
  <c r="B173" i="13"/>
  <c r="G1390" i="8"/>
  <c r="G1391" i="8" s="1"/>
  <c r="G173" i="13" s="1"/>
  <c r="G1387" i="8"/>
  <c r="G1386" i="8"/>
  <c r="G1304" i="8"/>
  <c r="G1292" i="8"/>
  <c r="G1281" i="8"/>
  <c r="G1218" i="8"/>
  <c r="G1264" i="8"/>
  <c r="E1312" i="8"/>
  <c r="E1311" i="8"/>
  <c r="E1310" i="8"/>
  <c r="E1309" i="8"/>
  <c r="E1308" i="8"/>
  <c r="E1256" i="8"/>
  <c r="E1255" i="8"/>
  <c r="E1245" i="8"/>
  <c r="E1244" i="8"/>
  <c r="E1234" i="8"/>
  <c r="E1233" i="8"/>
  <c r="E1223" i="8"/>
  <c r="E1222" i="8"/>
  <c r="E1221" i="8"/>
  <c r="E1210" i="8"/>
  <c r="E1209" i="8"/>
  <c r="E1208" i="8"/>
  <c r="E1207" i="8"/>
  <c r="E1285" i="8"/>
  <c r="E1284" i="8"/>
  <c r="E1297" i="8"/>
  <c r="E1296" i="8"/>
  <c r="E1295" i="8"/>
  <c r="J164" i="13"/>
  <c r="J163" i="13"/>
  <c r="J162" i="13"/>
  <c r="J161" i="13"/>
  <c r="J160" i="13"/>
  <c r="J159" i="13"/>
  <c r="J158" i="13"/>
  <c r="J157" i="13"/>
  <c r="J156" i="13"/>
  <c r="D164" i="13"/>
  <c r="D163" i="13"/>
  <c r="D162" i="13"/>
  <c r="D161" i="13"/>
  <c r="D160" i="13"/>
  <c r="D159" i="13"/>
  <c r="D158" i="13"/>
  <c r="D157" i="13"/>
  <c r="D156" i="13"/>
  <c r="C164" i="13"/>
  <c r="C163" i="13"/>
  <c r="C162" i="13"/>
  <c r="C161" i="13"/>
  <c r="C160" i="13"/>
  <c r="C159" i="13"/>
  <c r="C158" i="13"/>
  <c r="C157" i="13"/>
  <c r="E1274" i="8"/>
  <c r="E1273" i="8"/>
  <c r="G1273" i="8" s="1"/>
  <c r="E1272" i="8"/>
  <c r="G1272" i="8" s="1"/>
  <c r="E1271" i="8"/>
  <c r="G1271" i="8" s="1"/>
  <c r="E1270" i="8"/>
  <c r="E1269" i="8"/>
  <c r="E1268" i="8"/>
  <c r="E1267" i="8"/>
  <c r="B164" i="13"/>
  <c r="B163" i="13"/>
  <c r="B162" i="13"/>
  <c r="B161" i="13"/>
  <c r="B160" i="13"/>
  <c r="B159" i="13"/>
  <c r="B158" i="13"/>
  <c r="B157" i="13"/>
  <c r="G1388" i="8" l="1"/>
  <c r="F173" i="13" s="1"/>
  <c r="H173" i="13" s="1"/>
  <c r="I173" i="13" s="1"/>
  <c r="G1412" i="8"/>
  <c r="G176" i="13"/>
  <c r="H176" i="13" s="1"/>
  <c r="I176" i="13" s="1"/>
  <c r="G1311" i="8"/>
  <c r="G1245" i="8"/>
  <c r="G1256" i="8"/>
  <c r="G1310" i="8"/>
  <c r="G1312" i="8"/>
  <c r="G1274" i="8"/>
  <c r="G1270" i="8"/>
  <c r="G1309" i="8"/>
  <c r="G1285" i="8"/>
  <c r="G1296" i="8"/>
  <c r="G1297" i="8"/>
  <c r="G1268" i="8"/>
  <c r="G1269" i="8"/>
  <c r="G1234" i="8"/>
  <c r="G1223" i="8"/>
  <c r="G1222" i="8"/>
  <c r="G1221" i="8"/>
  <c r="G1217" i="8"/>
  <c r="G1209" i="8"/>
  <c r="G1207" i="8"/>
  <c r="G1208" i="8"/>
  <c r="C156" i="13"/>
  <c r="G1295" i="8"/>
  <c r="G1293" i="8"/>
  <c r="G1308" i="8"/>
  <c r="G1305" i="8"/>
  <c r="G1306" i="8" s="1"/>
  <c r="G1267" i="8"/>
  <c r="G1263" i="8"/>
  <c r="G1284" i="8"/>
  <c r="G1282" i="8"/>
  <c r="F162" i="13" s="1"/>
  <c r="G1244" i="8"/>
  <c r="G1241" i="8"/>
  <c r="G1242" i="8" s="1"/>
  <c r="F159" i="13" s="1"/>
  <c r="G1255" i="8"/>
  <c r="G1252" i="8"/>
  <c r="G1253" i="8" s="1"/>
  <c r="F160" i="13" s="1"/>
  <c r="G1233" i="8"/>
  <c r="G1230" i="8"/>
  <c r="G1231" i="8" s="1"/>
  <c r="F158" i="13" s="1"/>
  <c r="G1219" i="8" l="1"/>
  <c r="F157" i="13" s="1"/>
  <c r="G1393" i="8"/>
  <c r="G1257" i="8"/>
  <c r="G160" i="13" s="1"/>
  <c r="H160" i="13" s="1"/>
  <c r="F164" i="13"/>
  <c r="G1246" i="8"/>
  <c r="G159" i="13" s="1"/>
  <c r="H159" i="13" s="1"/>
  <c r="G1265" i="8"/>
  <c r="F161" i="13" s="1"/>
  <c r="G1275" i="8"/>
  <c r="G161" i="13" s="1"/>
  <c r="G1313" i="8"/>
  <c r="G164" i="13" s="1"/>
  <c r="F163" i="13"/>
  <c r="G1286" i="8"/>
  <c r="G162" i="13" s="1"/>
  <c r="G1298" i="8"/>
  <c r="G163" i="13" s="1"/>
  <c r="G1235" i="8"/>
  <c r="G1224" i="8"/>
  <c r="H58" i="16"/>
  <c r="H57" i="16"/>
  <c r="H56" i="16"/>
  <c r="H55" i="16"/>
  <c r="G58" i="16"/>
  <c r="G57" i="16"/>
  <c r="G56" i="16"/>
  <c r="G55" i="16"/>
  <c r="F58" i="16"/>
  <c r="F57" i="16"/>
  <c r="F56" i="16"/>
  <c r="F55" i="16"/>
  <c r="F32" i="16"/>
  <c r="G32" i="16"/>
  <c r="H32" i="16"/>
  <c r="J32" i="16" l="1"/>
  <c r="H163" i="13"/>
  <c r="I163" i="13" s="1"/>
  <c r="G1259" i="8"/>
  <c r="H162" i="13"/>
  <c r="I162" i="13" s="1"/>
  <c r="H161" i="13"/>
  <c r="I161" i="13" s="1"/>
  <c r="I159" i="13"/>
  <c r="H164" i="13"/>
  <c r="I164" i="13" s="1"/>
  <c r="I160" i="13"/>
  <c r="G1248" i="8"/>
  <c r="G1277" i="8"/>
  <c r="G1300" i="8"/>
  <c r="G1315" i="8"/>
  <c r="G1288" i="8"/>
  <c r="G1237" i="8"/>
  <c r="G158" i="13"/>
  <c r="G1226" i="8"/>
  <c r="G157" i="13"/>
  <c r="G817" i="8"/>
  <c r="G816" i="8"/>
  <c r="D259" i="8"/>
  <c r="D248" i="8"/>
  <c r="C518" i="8"/>
  <c r="D518" i="8"/>
  <c r="D529" i="8"/>
  <c r="B529" i="8"/>
  <c r="J94" i="13"/>
  <c r="J93" i="13"/>
  <c r="G515" i="8"/>
  <c r="G514" i="8"/>
  <c r="G526" i="8"/>
  <c r="H158" i="13" l="1"/>
  <c r="I158" i="13" s="1"/>
  <c r="H157" i="13"/>
  <c r="I157" i="13" s="1"/>
  <c r="G516" i="8"/>
  <c r="B518" i="8"/>
  <c r="D169" i="8" l="1"/>
  <c r="D166" i="8"/>
  <c r="C169" i="8"/>
  <c r="C166" i="8"/>
  <c r="J48" i="16" l="1"/>
  <c r="F166" i="8" s="1"/>
  <c r="J47" i="16"/>
  <c r="J13" i="16"/>
  <c r="C248" i="8" l="1"/>
  <c r="B248" i="8"/>
  <c r="J58" i="16"/>
  <c r="F248" i="8" s="1"/>
  <c r="D251" i="8"/>
  <c r="C251" i="8"/>
  <c r="B251" i="8"/>
  <c r="J57" i="16"/>
  <c r="F518" i="8"/>
  <c r="D262" i="8"/>
  <c r="C262" i="8"/>
  <c r="B262" i="8"/>
  <c r="B259" i="8"/>
  <c r="D231" i="8"/>
  <c r="D228" i="8"/>
  <c r="B231" i="8"/>
  <c r="D221" i="8"/>
  <c r="D218" i="8"/>
  <c r="C221" i="8"/>
  <c r="C231" i="8"/>
  <c r="B228" i="8"/>
  <c r="B221" i="8"/>
  <c r="B218" i="8"/>
  <c r="J133" i="16" l="1"/>
  <c r="F1147" i="8" s="1"/>
  <c r="J126" i="16"/>
  <c r="F918" i="8" s="1"/>
  <c r="J112" i="16"/>
  <c r="F848" i="8" s="1"/>
  <c r="J105" i="16"/>
  <c r="F838" i="8" s="1"/>
  <c r="J98" i="16"/>
  <c r="F828" i="8" s="1"/>
  <c r="J80" i="16"/>
  <c r="F529" i="8" s="1"/>
  <c r="J56" i="16"/>
  <c r="J55" i="16"/>
  <c r="D24" i="8"/>
  <c r="B24" i="8"/>
  <c r="C24" i="8"/>
  <c r="F228" i="8" l="1"/>
  <c r="F231" i="8"/>
  <c r="F221" i="8"/>
  <c r="F218" i="8"/>
  <c r="F169" i="8"/>
  <c r="F24" i="8" l="1"/>
  <c r="D207" i="8" l="1"/>
  <c r="C207" i="8"/>
  <c r="B207" i="8"/>
  <c r="B169" i="8"/>
  <c r="D133" i="8" l="1"/>
  <c r="C133" i="8"/>
  <c r="B133" i="8"/>
  <c r="J40" i="16"/>
  <c r="F133" i="8" s="1"/>
  <c r="D120" i="8"/>
  <c r="C120" i="8"/>
  <c r="B120" i="8"/>
  <c r="J39" i="16"/>
  <c r="F120" i="8" s="1"/>
  <c r="D94" i="8"/>
  <c r="C94" i="8"/>
  <c r="B94" i="8"/>
  <c r="D53" i="8"/>
  <c r="B53" i="8"/>
  <c r="F207" i="8" l="1"/>
  <c r="F94" i="8"/>
  <c r="J20" i="16" l="1"/>
  <c r="F53" i="8" s="1"/>
  <c r="C12" i="13" l="1"/>
  <c r="G208" i="13"/>
  <c r="J172" i="13" l="1"/>
  <c r="D172" i="13"/>
  <c r="B172" i="13"/>
  <c r="G1378" i="8"/>
  <c r="G1379" i="8"/>
  <c r="G1375" i="8"/>
  <c r="G1374" i="8"/>
  <c r="B180" i="13"/>
  <c r="B179" i="13"/>
  <c r="C174" i="13"/>
  <c r="B174" i="13"/>
  <c r="C171" i="13"/>
  <c r="B171" i="13"/>
  <c r="C153" i="13"/>
  <c r="G197" i="13"/>
  <c r="J170" i="13"/>
  <c r="J169" i="13"/>
  <c r="D170" i="13"/>
  <c r="D169" i="13"/>
  <c r="C170" i="13"/>
  <c r="C169" i="13"/>
  <c r="B170" i="13"/>
  <c r="B169" i="13"/>
  <c r="C168" i="13"/>
  <c r="B168" i="13"/>
  <c r="G1363" i="8"/>
  <c r="G1366" i="8"/>
  <c r="G1367" i="8" s="1"/>
  <c r="G170" i="13" s="1"/>
  <c r="G1362" i="8"/>
  <c r="G1402" i="8"/>
  <c r="G1403" i="8" s="1"/>
  <c r="G175" i="13" s="1"/>
  <c r="G1399" i="8"/>
  <c r="G1398" i="8"/>
  <c r="J167" i="13"/>
  <c r="J166" i="13"/>
  <c r="D167" i="13"/>
  <c r="D166" i="13"/>
  <c r="C167" i="13"/>
  <c r="C166" i="13"/>
  <c r="B167" i="13"/>
  <c r="B166" i="13"/>
  <c r="G1327" i="8"/>
  <c r="G1339" i="8"/>
  <c r="G1341" i="8"/>
  <c r="G1340" i="8"/>
  <c r="G1335" i="8"/>
  <c r="E1320" i="8"/>
  <c r="C165" i="13"/>
  <c r="B165" i="13"/>
  <c r="C155" i="13"/>
  <c r="B156" i="13"/>
  <c r="B155" i="13"/>
  <c r="C154" i="13"/>
  <c r="B154" i="13"/>
  <c r="B153" i="13"/>
  <c r="G1204" i="8"/>
  <c r="G1205" i="8" s="1"/>
  <c r="F156" i="13" s="1"/>
  <c r="G1380" i="8" l="1"/>
  <c r="G172" i="13" s="1"/>
  <c r="G1376" i="8"/>
  <c r="F172" i="13" s="1"/>
  <c r="G1364" i="8"/>
  <c r="F170" i="13" s="1"/>
  <c r="G1431" i="8"/>
  <c r="G1433" i="8" s="1"/>
  <c r="G1400" i="8"/>
  <c r="J149" i="13"/>
  <c r="J148" i="13"/>
  <c r="D149" i="13"/>
  <c r="D148" i="13"/>
  <c r="C149" i="13"/>
  <c r="C148" i="13"/>
  <c r="B149" i="13"/>
  <c r="B148" i="13"/>
  <c r="E1181" i="8"/>
  <c r="E1178" i="8"/>
  <c r="G1178" i="8" s="1"/>
  <c r="E1177" i="8"/>
  <c r="G1177" i="8" s="1"/>
  <c r="G1170" i="8"/>
  <c r="G1158" i="8"/>
  <c r="G1167" i="8"/>
  <c r="G1166" i="8"/>
  <c r="J147" i="13"/>
  <c r="D147" i="13"/>
  <c r="C147" i="13"/>
  <c r="B147" i="13"/>
  <c r="G1159" i="8"/>
  <c r="G1155" i="8"/>
  <c r="G1154" i="8"/>
  <c r="J146" i="13"/>
  <c r="J142" i="13"/>
  <c r="D142" i="13"/>
  <c r="C142" i="13"/>
  <c r="B142" i="13"/>
  <c r="J141" i="13"/>
  <c r="D141" i="13"/>
  <c r="C141" i="13"/>
  <c r="B141" i="13"/>
  <c r="J140" i="13"/>
  <c r="D140" i="13"/>
  <c r="C140" i="13"/>
  <c r="B140" i="13"/>
  <c r="J139" i="13"/>
  <c r="D139" i="13"/>
  <c r="C139" i="13"/>
  <c r="B139" i="13"/>
  <c r="J138" i="13"/>
  <c r="D138" i="13"/>
  <c r="C138" i="13"/>
  <c r="B138" i="13"/>
  <c r="J137" i="13"/>
  <c r="D137" i="13"/>
  <c r="C137" i="13"/>
  <c r="B137" i="13"/>
  <c r="J136" i="13"/>
  <c r="D136" i="13"/>
  <c r="C136" i="13"/>
  <c r="B136" i="13"/>
  <c r="B135" i="13"/>
  <c r="G1083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4" i="8"/>
  <c r="G1082" i="8"/>
  <c r="G1081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0" i="8"/>
  <c r="G1059" i="8"/>
  <c r="G1058" i="8"/>
  <c r="G1040" i="8"/>
  <c r="G1043" i="8"/>
  <c r="G1047" i="8"/>
  <c r="G1051" i="8"/>
  <c r="G1050" i="8"/>
  <c r="G1049" i="8"/>
  <c r="G1048" i="8"/>
  <c r="G1046" i="8"/>
  <c r="G1045" i="8"/>
  <c r="G1044" i="8"/>
  <c r="G1042" i="8"/>
  <c r="G1041" i="8"/>
  <c r="G1039" i="8"/>
  <c r="G1038" i="8"/>
  <c r="G1037" i="8"/>
  <c r="G1034" i="8"/>
  <c r="G1033" i="8"/>
  <c r="G1032" i="8"/>
  <c r="G1031" i="8"/>
  <c r="G1024" i="8"/>
  <c r="G1023" i="8"/>
  <c r="G1022" i="8"/>
  <c r="G1021" i="8"/>
  <c r="G1020" i="8"/>
  <c r="G1019" i="8"/>
  <c r="G1016" i="8"/>
  <c r="G1015" i="8"/>
  <c r="G1014" i="8"/>
  <c r="G1013" i="8"/>
  <c r="G1012" i="8"/>
  <c r="G1011" i="8"/>
  <c r="G1004" i="8"/>
  <c r="G1003" i="8"/>
  <c r="G1002" i="8"/>
  <c r="G1001" i="8"/>
  <c r="G1000" i="8"/>
  <c r="G997" i="8"/>
  <c r="G996" i="8"/>
  <c r="G995" i="8"/>
  <c r="G994" i="8"/>
  <c r="G993" i="8"/>
  <c r="G992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4" i="8"/>
  <c r="G963" i="8"/>
  <c r="G962" i="8"/>
  <c r="G961" i="8"/>
  <c r="G960" i="8"/>
  <c r="G959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0" i="8"/>
  <c r="G929" i="8"/>
  <c r="G928" i="8"/>
  <c r="G927" i="8"/>
  <c r="G934" i="8"/>
  <c r="G931" i="8"/>
  <c r="G926" i="8"/>
  <c r="E890" i="8"/>
  <c r="G882" i="8"/>
  <c r="E868" i="8"/>
  <c r="G868" i="8" s="1"/>
  <c r="G869" i="8" s="1"/>
  <c r="F130" i="13" s="1"/>
  <c r="J134" i="13"/>
  <c r="J133" i="13"/>
  <c r="J132" i="13"/>
  <c r="J131" i="13"/>
  <c r="D134" i="13"/>
  <c r="D133" i="13"/>
  <c r="D132" i="13"/>
  <c r="D131" i="13"/>
  <c r="B134" i="13"/>
  <c r="B133" i="13"/>
  <c r="B132" i="13"/>
  <c r="B131" i="13"/>
  <c r="J130" i="13"/>
  <c r="D130" i="13"/>
  <c r="C130" i="13"/>
  <c r="B130" i="13"/>
  <c r="G871" i="8"/>
  <c r="C129" i="13"/>
  <c r="B129" i="13"/>
  <c r="G861" i="8"/>
  <c r="G860" i="8"/>
  <c r="G859" i="8"/>
  <c r="G855" i="8"/>
  <c r="G856" i="8"/>
  <c r="B128" i="13"/>
  <c r="B127" i="13"/>
  <c r="J127" i="13"/>
  <c r="J125" i="13"/>
  <c r="J124" i="13"/>
  <c r="D125" i="13"/>
  <c r="D124" i="13"/>
  <c r="C125" i="13"/>
  <c r="C124" i="13"/>
  <c r="B125" i="13"/>
  <c r="B124" i="13"/>
  <c r="G811" i="8"/>
  <c r="G800" i="8"/>
  <c r="G804" i="8"/>
  <c r="J123" i="13"/>
  <c r="J122" i="13"/>
  <c r="J121" i="13"/>
  <c r="G782" i="8"/>
  <c r="J118" i="13"/>
  <c r="J117" i="13"/>
  <c r="J116" i="13"/>
  <c r="J115" i="13"/>
  <c r="J114" i="13"/>
  <c r="D118" i="13"/>
  <c r="D117" i="13"/>
  <c r="D116" i="13"/>
  <c r="D115" i="13"/>
  <c r="D114" i="13"/>
  <c r="C118" i="13"/>
  <c r="C117" i="13"/>
  <c r="C116" i="13"/>
  <c r="C115" i="13"/>
  <c r="C114" i="13"/>
  <c r="C113" i="13"/>
  <c r="C112" i="13"/>
  <c r="B118" i="13"/>
  <c r="B117" i="13"/>
  <c r="B116" i="13"/>
  <c r="B115" i="13"/>
  <c r="B114" i="13"/>
  <c r="B113" i="13"/>
  <c r="B112" i="13"/>
  <c r="G751" i="8"/>
  <c r="G752" i="8"/>
  <c r="G753" i="8"/>
  <c r="G750" i="8"/>
  <c r="G747" i="8"/>
  <c r="E746" i="8"/>
  <c r="G746" i="8" s="1"/>
  <c r="G736" i="8"/>
  <c r="G737" i="8" s="1"/>
  <c r="F117" i="13" s="1"/>
  <c r="G739" i="8"/>
  <c r="E725" i="8"/>
  <c r="G725" i="8" s="1"/>
  <c r="E724" i="8"/>
  <c r="G724" i="8" s="1"/>
  <c r="G729" i="8"/>
  <c r="G728" i="8"/>
  <c r="G717" i="8"/>
  <c r="G716" i="8"/>
  <c r="G713" i="8"/>
  <c r="G712" i="8"/>
  <c r="G704" i="8"/>
  <c r="G703" i="8"/>
  <c r="G698" i="8"/>
  <c r="G705" i="8"/>
  <c r="G700" i="8"/>
  <c r="G699" i="8"/>
  <c r="J108" i="13"/>
  <c r="J107" i="13"/>
  <c r="J106" i="13"/>
  <c r="J105" i="13"/>
  <c r="J104" i="13"/>
  <c r="J103" i="13"/>
  <c r="J102" i="13"/>
  <c r="D108" i="13"/>
  <c r="D107" i="13"/>
  <c r="D106" i="13"/>
  <c r="D105" i="13"/>
  <c r="D104" i="13"/>
  <c r="D103" i="13"/>
  <c r="C106" i="13"/>
  <c r="C105" i="13"/>
  <c r="C104" i="13"/>
  <c r="C103" i="13"/>
  <c r="B108" i="13"/>
  <c r="B107" i="13"/>
  <c r="B106" i="13"/>
  <c r="B105" i="13"/>
  <c r="B104" i="13"/>
  <c r="B103" i="13"/>
  <c r="E654" i="8"/>
  <c r="G654" i="8" s="1"/>
  <c r="G653" i="8"/>
  <c r="G635" i="8"/>
  <c r="G636" i="8" s="1"/>
  <c r="G105" i="13" s="1"/>
  <c r="G624" i="8"/>
  <c r="G625" i="8" s="1"/>
  <c r="G104" i="13" s="1"/>
  <c r="G621" i="8"/>
  <c r="G613" i="8"/>
  <c r="G614" i="8" s="1"/>
  <c r="G103" i="13" s="1"/>
  <c r="E632" i="8"/>
  <c r="G632" i="8" s="1"/>
  <c r="G631" i="8"/>
  <c r="G620" i="8"/>
  <c r="G610" i="8"/>
  <c r="G609" i="8"/>
  <c r="H172" i="13" l="1"/>
  <c r="I172" i="13" s="1"/>
  <c r="G814" i="8"/>
  <c r="F125" i="13" s="1"/>
  <c r="G802" i="8"/>
  <c r="F124" i="13" s="1"/>
  <c r="G1405" i="8"/>
  <c r="F175" i="13"/>
  <c r="H175" i="13" s="1"/>
  <c r="I175" i="13" s="1"/>
  <c r="G1382" i="8"/>
  <c r="G1369" i="8"/>
  <c r="G1435" i="8"/>
  <c r="F180" i="13"/>
  <c r="H180" i="13" s="1"/>
  <c r="I180" i="13" s="1"/>
  <c r="G1181" i="8"/>
  <c r="G1182" i="8" s="1"/>
  <c r="G149" i="13" s="1"/>
  <c r="G1179" i="8"/>
  <c r="G1168" i="8"/>
  <c r="F148" i="13" s="1"/>
  <c r="G1171" i="8"/>
  <c r="G148" i="13" s="1"/>
  <c r="G1160" i="8"/>
  <c r="G147" i="13" s="1"/>
  <c r="G1156" i="8"/>
  <c r="F147" i="13" s="1"/>
  <c r="G1100" i="8"/>
  <c r="G142" i="13" s="1"/>
  <c r="G1085" i="8"/>
  <c r="F142" i="13" s="1"/>
  <c r="G1075" i="8"/>
  <c r="G141" i="13" s="1"/>
  <c r="G1025" i="8"/>
  <c r="G139" i="13" s="1"/>
  <c r="G1052" i="8"/>
  <c r="G140" i="13" s="1"/>
  <c r="G1061" i="8"/>
  <c r="F141" i="13" s="1"/>
  <c r="G1035" i="8"/>
  <c r="F140" i="13" s="1"/>
  <c r="G1017" i="8"/>
  <c r="F139" i="13" s="1"/>
  <c r="G998" i="8"/>
  <c r="F138" i="13" s="1"/>
  <c r="G1005" i="8"/>
  <c r="G138" i="13" s="1"/>
  <c r="G965" i="8"/>
  <c r="F137" i="13" s="1"/>
  <c r="G986" i="8"/>
  <c r="G137" i="13" s="1"/>
  <c r="G953" i="8"/>
  <c r="G136" i="13" s="1"/>
  <c r="G932" i="8"/>
  <c r="F136" i="13" s="1"/>
  <c r="G857" i="8"/>
  <c r="F129" i="13" s="1"/>
  <c r="G818" i="8"/>
  <c r="G872" i="8"/>
  <c r="G862" i="8"/>
  <c r="G805" i="8"/>
  <c r="G706" i="8"/>
  <c r="G114" i="13" s="1"/>
  <c r="G714" i="8"/>
  <c r="F115" i="13" s="1"/>
  <c r="G748" i="8"/>
  <c r="F118" i="13" s="1"/>
  <c r="G754" i="8"/>
  <c r="G740" i="8"/>
  <c r="G726" i="8"/>
  <c r="F116" i="13" s="1"/>
  <c r="G730" i="8"/>
  <c r="G718" i="8"/>
  <c r="G701" i="8"/>
  <c r="F114" i="13" s="1"/>
  <c r="G633" i="8"/>
  <c r="F105" i="13" s="1"/>
  <c r="H105" i="13" s="1"/>
  <c r="G622" i="8"/>
  <c r="G611" i="8"/>
  <c r="H114" i="13" l="1"/>
  <c r="H136" i="13"/>
  <c r="H147" i="13"/>
  <c r="H137" i="13"/>
  <c r="H139" i="13"/>
  <c r="H141" i="13"/>
  <c r="H138" i="13"/>
  <c r="H148" i="13"/>
  <c r="H142" i="13"/>
  <c r="H140" i="13"/>
  <c r="G819" i="8"/>
  <c r="G125" i="13" s="1"/>
  <c r="H125" i="13" s="1"/>
  <c r="G1184" i="8"/>
  <c r="F149" i="13"/>
  <c r="H149" i="13" s="1"/>
  <c r="G1173" i="8"/>
  <c r="G1162" i="8"/>
  <c r="G1102" i="8"/>
  <c r="G1077" i="8"/>
  <c r="G1054" i="8"/>
  <c r="G1027" i="8"/>
  <c r="G1007" i="8"/>
  <c r="G988" i="8"/>
  <c r="G955" i="8"/>
  <c r="G864" i="8"/>
  <c r="G129" i="13"/>
  <c r="H129" i="13" s="1"/>
  <c r="G874" i="8"/>
  <c r="G130" i="13"/>
  <c r="H130" i="13" s="1"/>
  <c r="G807" i="8"/>
  <c r="G124" i="13"/>
  <c r="H124" i="13" s="1"/>
  <c r="G756" i="8"/>
  <c r="G118" i="13"/>
  <c r="G720" i="8"/>
  <c r="G115" i="13"/>
  <c r="H115" i="13" s="1"/>
  <c r="G732" i="8"/>
  <c r="G116" i="13"/>
  <c r="H116" i="13" s="1"/>
  <c r="G742" i="8"/>
  <c r="G117" i="13"/>
  <c r="H117" i="13" s="1"/>
  <c r="G708" i="8"/>
  <c r="G638" i="8"/>
  <c r="G616" i="8"/>
  <c r="F103" i="13"/>
  <c r="H103" i="13" s="1"/>
  <c r="G627" i="8"/>
  <c r="F104" i="13"/>
  <c r="H104" i="13" s="1"/>
  <c r="H118" i="13" l="1"/>
  <c r="I118" i="13" s="1"/>
  <c r="G821" i="8"/>
  <c r="J100" i="13"/>
  <c r="J99" i="13"/>
  <c r="J98" i="13"/>
  <c r="J97" i="13"/>
  <c r="J96" i="13"/>
  <c r="D100" i="13"/>
  <c r="D99" i="13"/>
  <c r="D98" i="13"/>
  <c r="D97" i="13"/>
  <c r="D96" i="13"/>
  <c r="C100" i="13"/>
  <c r="C99" i="13"/>
  <c r="C98" i="13"/>
  <c r="C97" i="13"/>
  <c r="C96" i="13"/>
  <c r="E586" i="8"/>
  <c r="G586" i="8" s="1"/>
  <c r="E585" i="8"/>
  <c r="G585" i="8" s="1"/>
  <c r="B100" i="13"/>
  <c r="G590" i="8"/>
  <c r="G589" i="8"/>
  <c r="B99" i="13"/>
  <c r="B98" i="13"/>
  <c r="B97" i="13"/>
  <c r="B96" i="13"/>
  <c r="B95" i="13"/>
  <c r="E574" i="8"/>
  <c r="G574" i="8" s="1"/>
  <c r="E573" i="8"/>
  <c r="G573" i="8" s="1"/>
  <c r="G578" i="8"/>
  <c r="G577" i="8"/>
  <c r="E562" i="8"/>
  <c r="G562" i="8" s="1"/>
  <c r="E561" i="8"/>
  <c r="G561" i="8" s="1"/>
  <c r="G566" i="8"/>
  <c r="G565" i="8"/>
  <c r="G554" i="8"/>
  <c r="G553" i="8"/>
  <c r="E550" i="8"/>
  <c r="G550" i="8" s="1"/>
  <c r="E549" i="8"/>
  <c r="G549" i="8" s="1"/>
  <c r="G541" i="8"/>
  <c r="G542" i="8"/>
  <c r="E538" i="8"/>
  <c r="G538" i="8" s="1"/>
  <c r="E537" i="8"/>
  <c r="G537" i="8" s="1"/>
  <c r="J46" i="13"/>
  <c r="G495" i="8"/>
  <c r="D88" i="13"/>
  <c r="D87" i="13"/>
  <c r="C88" i="13"/>
  <c r="C87" i="13"/>
  <c r="C86" i="13"/>
  <c r="C85" i="13"/>
  <c r="C84" i="13"/>
  <c r="B86" i="13"/>
  <c r="B85" i="13"/>
  <c r="B84" i="13"/>
  <c r="J88" i="13"/>
  <c r="J87" i="13"/>
  <c r="G503" i="8"/>
  <c r="G502" i="8"/>
  <c r="G501" i="8"/>
  <c r="G500" i="8"/>
  <c r="G499" i="8"/>
  <c r="G496" i="8"/>
  <c r="G480" i="8"/>
  <c r="G487" i="8"/>
  <c r="G486" i="8"/>
  <c r="G485" i="8"/>
  <c r="G488" i="8"/>
  <c r="G484" i="8"/>
  <c r="G481" i="8"/>
  <c r="J83" i="13"/>
  <c r="J81" i="13"/>
  <c r="J80" i="13"/>
  <c r="J78" i="13"/>
  <c r="J77" i="13"/>
  <c r="J76" i="13"/>
  <c r="J74" i="13"/>
  <c r="J72" i="13"/>
  <c r="D83" i="13"/>
  <c r="D81" i="13"/>
  <c r="D80" i="13"/>
  <c r="D78" i="13"/>
  <c r="D77" i="13"/>
  <c r="D76" i="13"/>
  <c r="D74" i="13"/>
  <c r="D72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B83" i="13"/>
  <c r="B82" i="13"/>
  <c r="B81" i="13"/>
  <c r="B80" i="13"/>
  <c r="B79" i="13"/>
  <c r="B78" i="13"/>
  <c r="B77" i="13"/>
  <c r="B76" i="13"/>
  <c r="B75" i="13"/>
  <c r="B74" i="13"/>
  <c r="B73" i="13"/>
  <c r="B72" i="13"/>
  <c r="B71" i="13"/>
  <c r="B70" i="13"/>
  <c r="E470" i="8"/>
  <c r="E466" i="8"/>
  <c r="G466" i="8" s="1"/>
  <c r="E465" i="8"/>
  <c r="G465" i="8" s="1"/>
  <c r="G456" i="8"/>
  <c r="G455" i="8"/>
  <c r="G457" i="8"/>
  <c r="G452" i="8"/>
  <c r="G451" i="8"/>
  <c r="G587" i="8" l="1"/>
  <c r="F100" i="13" s="1"/>
  <c r="G591" i="8"/>
  <c r="G567" i="8"/>
  <c r="G98" i="13" s="1"/>
  <c r="G551" i="8"/>
  <c r="F97" i="13" s="1"/>
  <c r="G458" i="8"/>
  <c r="G81" i="13" s="1"/>
  <c r="G497" i="8"/>
  <c r="F88" i="13" s="1"/>
  <c r="G453" i="8"/>
  <c r="F81" i="13" s="1"/>
  <c r="G575" i="8"/>
  <c r="F99" i="13" s="1"/>
  <c r="G579" i="8"/>
  <c r="G563" i="8"/>
  <c r="G555" i="8"/>
  <c r="G543" i="8"/>
  <c r="G96" i="13" s="1"/>
  <c r="G539" i="8"/>
  <c r="F96" i="13" s="1"/>
  <c r="G482" i="8"/>
  <c r="F87" i="13" s="1"/>
  <c r="G504" i="8"/>
  <c r="G489" i="8"/>
  <c r="G469" i="8"/>
  <c r="G467" i="8"/>
  <c r="F83" i="13" s="1"/>
  <c r="G470" i="8"/>
  <c r="G444" i="8"/>
  <c r="G445" i="8" s="1"/>
  <c r="G80" i="13" s="1"/>
  <c r="G441" i="8"/>
  <c r="G440" i="8"/>
  <c r="G432" i="8"/>
  <c r="G433" i="8" s="1"/>
  <c r="G78" i="13" s="1"/>
  <c r="G429" i="8"/>
  <c r="G428" i="8"/>
  <c r="G421" i="8"/>
  <c r="G422" i="8" s="1"/>
  <c r="G77" i="13" s="1"/>
  <c r="G418" i="8"/>
  <c r="G417" i="8"/>
  <c r="G410" i="8"/>
  <c r="G411" i="8" s="1"/>
  <c r="G76" i="13" s="1"/>
  <c r="G407" i="8"/>
  <c r="G406" i="8"/>
  <c r="G74" i="13"/>
  <c r="G386" i="8"/>
  <c r="G385" i="8"/>
  <c r="G382" i="8"/>
  <c r="G381" i="8"/>
  <c r="J69" i="13"/>
  <c r="J67" i="13"/>
  <c r="D69" i="13"/>
  <c r="D67" i="13"/>
  <c r="C69" i="13"/>
  <c r="C68" i="13"/>
  <c r="C67" i="13"/>
  <c r="C66" i="13"/>
  <c r="C65" i="13"/>
  <c r="B69" i="13"/>
  <c r="B68" i="13"/>
  <c r="B67" i="13"/>
  <c r="B66" i="13"/>
  <c r="B65" i="13"/>
  <c r="G288" i="8"/>
  <c r="G289" i="8" s="1"/>
  <c r="G54" i="13" s="1"/>
  <c r="G285" i="8"/>
  <c r="G284" i="8"/>
  <c r="G372" i="8"/>
  <c r="G368" i="8"/>
  <c r="G367" i="8"/>
  <c r="G359" i="8"/>
  <c r="G360" i="8" s="1"/>
  <c r="G67" i="13" s="1"/>
  <c r="G356" i="8"/>
  <c r="G355" i="8"/>
  <c r="E334" i="8"/>
  <c r="G334" i="8" s="1"/>
  <c r="E333" i="8"/>
  <c r="E332" i="8"/>
  <c r="E329" i="8"/>
  <c r="G329" i="8" s="1"/>
  <c r="E328" i="8"/>
  <c r="G328" i="8" s="1"/>
  <c r="E327" i="8"/>
  <c r="G327" i="8" s="1"/>
  <c r="J63" i="13"/>
  <c r="J62" i="13"/>
  <c r="D63" i="13"/>
  <c r="D62" i="13"/>
  <c r="C63" i="13"/>
  <c r="C62" i="13"/>
  <c r="C61" i="13"/>
  <c r="B63" i="13"/>
  <c r="B62" i="13"/>
  <c r="B61" i="13"/>
  <c r="G345" i="8"/>
  <c r="G342" i="8"/>
  <c r="G341" i="8"/>
  <c r="J58" i="13"/>
  <c r="J56" i="13"/>
  <c r="J54" i="13"/>
  <c r="J52" i="13"/>
  <c r="D58" i="13"/>
  <c r="D56" i="13"/>
  <c r="D54" i="13"/>
  <c r="D52" i="13"/>
  <c r="C58" i="13"/>
  <c r="C57" i="13"/>
  <c r="C56" i="13"/>
  <c r="C55" i="13"/>
  <c r="C54" i="13"/>
  <c r="C53" i="13"/>
  <c r="C52" i="13"/>
  <c r="C51" i="13"/>
  <c r="C50" i="13"/>
  <c r="B58" i="13"/>
  <c r="B57" i="13"/>
  <c r="B56" i="13"/>
  <c r="B55" i="13"/>
  <c r="B54" i="13"/>
  <c r="B53" i="13"/>
  <c r="B52" i="13"/>
  <c r="B51" i="13"/>
  <c r="B50" i="13"/>
  <c r="G303" i="8"/>
  <c r="G276" i="8"/>
  <c r="G277" i="8" s="1"/>
  <c r="G52" i="13" s="1"/>
  <c r="G273" i="8"/>
  <c r="G272" i="8"/>
  <c r="J48" i="13"/>
  <c r="J45" i="13"/>
  <c r="J44" i="13"/>
  <c r="J43" i="13"/>
  <c r="J40" i="13"/>
  <c r="J17" i="13"/>
  <c r="J38" i="13"/>
  <c r="J36" i="13"/>
  <c r="D48" i="13"/>
  <c r="D45" i="13"/>
  <c r="D44" i="13"/>
  <c r="D43" i="13"/>
  <c r="D40" i="13"/>
  <c r="D17" i="13"/>
  <c r="D38" i="13"/>
  <c r="D36" i="13"/>
  <c r="C48" i="13"/>
  <c r="C45" i="13"/>
  <c r="C44" i="13"/>
  <c r="C43" i="13"/>
  <c r="C17" i="13"/>
  <c r="C16" i="13"/>
  <c r="C15" i="13"/>
  <c r="C38" i="13"/>
  <c r="C37" i="13"/>
  <c r="C36" i="13"/>
  <c r="C35" i="13"/>
  <c r="C34" i="13"/>
  <c r="B45" i="13"/>
  <c r="B44" i="13"/>
  <c r="B43" i="13"/>
  <c r="B39" i="13"/>
  <c r="B16" i="13"/>
  <c r="B17" i="13"/>
  <c r="B15" i="13"/>
  <c r="B38" i="13"/>
  <c r="B37" i="13"/>
  <c r="B36" i="13"/>
  <c r="B35" i="13"/>
  <c r="B34" i="13"/>
  <c r="H96" i="13" l="1"/>
  <c r="G373" i="8"/>
  <c r="G69" i="13" s="1"/>
  <c r="H81" i="13"/>
  <c r="G442" i="8"/>
  <c r="F80" i="13" s="1"/>
  <c r="H80" i="13" s="1"/>
  <c r="G557" i="8"/>
  <c r="G97" i="13"/>
  <c r="H97" i="13" s="1"/>
  <c r="G569" i="8"/>
  <c r="F98" i="13"/>
  <c r="H98" i="13" s="1"/>
  <c r="G581" i="8"/>
  <c r="G99" i="13"/>
  <c r="H99" i="13" s="1"/>
  <c r="G593" i="8"/>
  <c r="G100" i="13"/>
  <c r="H100" i="13" s="1"/>
  <c r="G460" i="8"/>
  <c r="G286" i="8"/>
  <c r="G291" i="8" s="1"/>
  <c r="G419" i="8"/>
  <c r="F77" i="13" s="1"/>
  <c r="H77" i="13" s="1"/>
  <c r="G545" i="8"/>
  <c r="G430" i="8"/>
  <c r="F78" i="13" s="1"/>
  <c r="H78" i="13" s="1"/>
  <c r="G471" i="8"/>
  <c r="G473" i="8" s="1"/>
  <c r="G408" i="8"/>
  <c r="F76" i="13" s="1"/>
  <c r="H76" i="13" s="1"/>
  <c r="G491" i="8"/>
  <c r="G87" i="13"/>
  <c r="H87" i="13" s="1"/>
  <c r="G506" i="8"/>
  <c r="G88" i="13"/>
  <c r="H88" i="13" s="1"/>
  <c r="G383" i="8"/>
  <c r="F72" i="13" s="1"/>
  <c r="G357" i="8"/>
  <c r="F67" i="13" s="1"/>
  <c r="H67" i="13" s="1"/>
  <c r="G369" i="8"/>
  <c r="G387" i="8"/>
  <c r="G72" i="13" s="1"/>
  <c r="G274" i="8"/>
  <c r="F52" i="13" s="1"/>
  <c r="H52" i="13" s="1"/>
  <c r="G343" i="8"/>
  <c r="F63" i="13" s="1"/>
  <c r="G333" i="8"/>
  <c r="G346" i="8"/>
  <c r="G63" i="13" s="1"/>
  <c r="G332" i="8"/>
  <c r="G330" i="8"/>
  <c r="F62" i="13" s="1"/>
  <c r="G241" i="8"/>
  <c r="G242" i="8" s="1"/>
  <c r="G45" i="13" s="1"/>
  <c r="G238" i="8"/>
  <c r="G239" i="8" s="1"/>
  <c r="G231" i="8"/>
  <c r="G232" i="8" s="1"/>
  <c r="G44" i="13" s="1"/>
  <c r="G228" i="8"/>
  <c r="G229" i="8" s="1"/>
  <c r="F44" i="13" s="1"/>
  <c r="G39" i="8"/>
  <c r="G38" i="8"/>
  <c r="G37" i="8"/>
  <c r="G40" i="8"/>
  <c r="G34" i="8"/>
  <c r="G33" i="8"/>
  <c r="G195" i="8"/>
  <c r="G196" i="8" s="1"/>
  <c r="G38" i="13" s="1"/>
  <c r="G192" i="8"/>
  <c r="G191" i="8"/>
  <c r="G183" i="8"/>
  <c r="G184" i="8" s="1"/>
  <c r="G36" i="13" s="1"/>
  <c r="G180" i="8"/>
  <c r="G179" i="8"/>
  <c r="E158" i="8"/>
  <c r="G375" i="8" l="1"/>
  <c r="H44" i="13"/>
  <c r="H72" i="13"/>
  <c r="H63" i="13"/>
  <c r="G447" i="8"/>
  <c r="G413" i="8"/>
  <c r="G435" i="8"/>
  <c r="G83" i="13"/>
  <c r="H83" i="13" s="1"/>
  <c r="G424" i="8"/>
  <c r="F74" i="13"/>
  <c r="H74" i="13" s="1"/>
  <c r="G389" i="8"/>
  <c r="G279" i="8"/>
  <c r="G362" i="8"/>
  <c r="F69" i="13"/>
  <c r="H69" i="13" s="1"/>
  <c r="G35" i="8"/>
  <c r="F17" i="13" s="1"/>
  <c r="G348" i="8"/>
  <c r="F54" i="13"/>
  <c r="H54" i="13" s="1"/>
  <c r="G335" i="8"/>
  <c r="G244" i="8"/>
  <c r="F45" i="13"/>
  <c r="H45" i="13" s="1"/>
  <c r="G181" i="8"/>
  <c r="F36" i="13" s="1"/>
  <c r="H36" i="13" s="1"/>
  <c r="G234" i="8"/>
  <c r="G41" i="8"/>
  <c r="G193" i="8"/>
  <c r="G337" i="8" l="1"/>
  <c r="G62" i="13"/>
  <c r="H62" i="13" s="1"/>
  <c r="G186" i="8"/>
  <c r="G43" i="8"/>
  <c r="G17" i="13"/>
  <c r="H17" i="13" s="1"/>
  <c r="G198" i="8"/>
  <c r="F38" i="13"/>
  <c r="H38" i="13" s="1"/>
  <c r="J32" i="13" l="1"/>
  <c r="J30" i="13"/>
  <c r="J29" i="13"/>
  <c r="J27" i="13"/>
  <c r="J26" i="13"/>
  <c r="D29" i="13"/>
  <c r="C29" i="13"/>
  <c r="B29" i="13"/>
  <c r="G147" i="8"/>
  <c r="G146" i="8"/>
  <c r="G143" i="8"/>
  <c r="G142" i="8"/>
  <c r="E69" i="8"/>
  <c r="G144" i="8" l="1"/>
  <c r="F29" i="13" s="1"/>
  <c r="G148" i="8"/>
  <c r="J22" i="13"/>
  <c r="J21" i="13"/>
  <c r="D14" i="13"/>
  <c r="C11" i="13"/>
  <c r="C14" i="13"/>
  <c r="C13" i="13"/>
  <c r="B13" i="13"/>
  <c r="B14" i="13"/>
  <c r="J14" i="13"/>
  <c r="G24" i="8"/>
  <c r="G150" i="8" l="1"/>
  <c r="G29" i="13"/>
  <c r="H29" i="13" s="1"/>
  <c r="G25" i="8"/>
  <c r="F14" i="13" l="1"/>
  <c r="H14" i="13" s="1"/>
  <c r="G27" i="8"/>
  <c r="J19" i="13"/>
  <c r="I117" i="13" l="1"/>
  <c r="H190" i="13" l="1"/>
  <c r="H223" i="13"/>
  <c r="I223" i="13" s="1"/>
  <c r="H222" i="13"/>
  <c r="I222" i="13" s="1"/>
  <c r="H221" i="13"/>
  <c r="I221" i="13" s="1"/>
  <c r="I219" i="13"/>
  <c r="H218" i="13"/>
  <c r="I218" i="13" s="1"/>
  <c r="H217" i="13"/>
  <c r="I217" i="13" s="1"/>
  <c r="H215" i="13"/>
  <c r="I215" i="13" s="1"/>
  <c r="H208" i="13"/>
  <c r="I208" i="13" s="1"/>
  <c r="H206" i="13"/>
  <c r="H205" i="13"/>
  <c r="H203" i="13"/>
  <c r="H202" i="13"/>
  <c r="H197" i="13"/>
  <c r="I197" i="13" s="1"/>
  <c r="H195" i="13"/>
  <c r="H193" i="13"/>
  <c r="H183" i="13"/>
  <c r="I183" i="13" s="1"/>
  <c r="H170" i="13"/>
  <c r="I170" i="13" s="1"/>
  <c r="I149" i="13"/>
  <c r="I148" i="13"/>
  <c r="I142" i="13"/>
  <c r="I141" i="13"/>
  <c r="I140" i="13"/>
  <c r="I139" i="13"/>
  <c r="I138" i="13"/>
  <c r="I137" i="13"/>
  <c r="I136" i="13"/>
  <c r="I130" i="13"/>
  <c r="I129" i="13"/>
  <c r="I124" i="13"/>
  <c r="I116" i="13"/>
  <c r="I115" i="13"/>
  <c r="I114" i="13"/>
  <c r="I105" i="13"/>
  <c r="I103" i="13"/>
  <c r="I100" i="13"/>
  <c r="I99" i="13"/>
  <c r="I98" i="13"/>
  <c r="I97" i="13"/>
  <c r="I96" i="13"/>
  <c r="I88" i="13"/>
  <c r="I87" i="13"/>
  <c r="I81" i="13"/>
  <c r="I80" i="13"/>
  <c r="I78" i="13"/>
  <c r="I77" i="13"/>
  <c r="I67" i="13"/>
  <c r="I63" i="13"/>
  <c r="I62" i="13"/>
  <c r="I52" i="13"/>
  <c r="I45" i="13"/>
  <c r="I44" i="13"/>
  <c r="I29" i="13"/>
  <c r="I206" i="13" l="1"/>
  <c r="I205" i="13"/>
  <c r="I203" i="13"/>
  <c r="I202" i="13"/>
  <c r="I195" i="13"/>
  <c r="E193" i="13"/>
  <c r="D152" i="13"/>
  <c r="C152" i="13"/>
  <c r="B152" i="13"/>
  <c r="C151" i="13"/>
  <c r="B151" i="13"/>
  <c r="C150" i="13"/>
  <c r="B150" i="13"/>
  <c r="I147" i="13"/>
  <c r="D146" i="13"/>
  <c r="C146" i="13"/>
  <c r="B146" i="13"/>
  <c r="C145" i="13"/>
  <c r="B145" i="13"/>
  <c r="C134" i="13"/>
  <c r="C133" i="13"/>
  <c r="C132" i="13"/>
  <c r="C131" i="13"/>
  <c r="C128" i="13"/>
  <c r="D127" i="13"/>
  <c r="C127" i="13"/>
  <c r="D126" i="13"/>
  <c r="C126" i="13"/>
  <c r="B126" i="13"/>
  <c r="I125" i="13"/>
  <c r="D123" i="13"/>
  <c r="C123" i="13"/>
  <c r="B123" i="13"/>
  <c r="D122" i="13"/>
  <c r="C122" i="13"/>
  <c r="B122" i="13"/>
  <c r="D121" i="13"/>
  <c r="C121" i="13"/>
  <c r="B121" i="13"/>
  <c r="C120" i="13"/>
  <c r="B120" i="13"/>
  <c r="C119" i="13"/>
  <c r="B119" i="13"/>
  <c r="D111" i="13"/>
  <c r="C111" i="13"/>
  <c r="B111" i="13"/>
  <c r="C110" i="13"/>
  <c r="B110" i="13"/>
  <c r="C109" i="13"/>
  <c r="B109" i="13"/>
  <c r="C108" i="13"/>
  <c r="C107" i="13"/>
  <c r="I104" i="13"/>
  <c r="D102" i="13"/>
  <c r="C102" i="13"/>
  <c r="B102" i="13"/>
  <c r="C101" i="13"/>
  <c r="B101" i="13"/>
  <c r="D94" i="13"/>
  <c r="C94" i="13"/>
  <c r="B94" i="13"/>
  <c r="D93" i="13"/>
  <c r="C93" i="13"/>
  <c r="B93" i="13"/>
  <c r="C92" i="13"/>
  <c r="B92" i="13"/>
  <c r="C91" i="13"/>
  <c r="B91" i="13"/>
  <c r="D46" i="13"/>
  <c r="C46" i="13"/>
  <c r="C90" i="13"/>
  <c r="B90" i="13"/>
  <c r="C89" i="13"/>
  <c r="B89" i="13"/>
  <c r="I83" i="13"/>
  <c r="I74" i="13"/>
  <c r="E69" i="13"/>
  <c r="I69" i="13" s="1"/>
  <c r="C64" i="13"/>
  <c r="B64" i="13"/>
  <c r="C60" i="13"/>
  <c r="B60" i="13"/>
  <c r="C59" i="13"/>
  <c r="B59" i="13"/>
  <c r="E54" i="13"/>
  <c r="I54" i="13" s="1"/>
  <c r="C49" i="13"/>
  <c r="B49" i="13"/>
  <c r="E48" i="13"/>
  <c r="B48" i="13"/>
  <c r="C47" i="13"/>
  <c r="B47" i="13"/>
  <c r="C42" i="13"/>
  <c r="B42" i="13"/>
  <c r="C41" i="13"/>
  <c r="B41" i="13"/>
  <c r="C40" i="13"/>
  <c r="B40" i="13"/>
  <c r="C39" i="13"/>
  <c r="C33" i="13"/>
  <c r="B33" i="13"/>
  <c r="D32" i="13"/>
  <c r="C32" i="13"/>
  <c r="B32" i="13"/>
  <c r="C31" i="13"/>
  <c r="B31" i="13"/>
  <c r="D30" i="13"/>
  <c r="C30" i="13"/>
  <c r="B30" i="13"/>
  <c r="C28" i="13"/>
  <c r="B28" i="13"/>
  <c r="E27" i="13"/>
  <c r="D27" i="13"/>
  <c r="C27" i="13"/>
  <c r="B27" i="13"/>
  <c r="D26" i="13"/>
  <c r="B26" i="13"/>
  <c r="C25" i="13"/>
  <c r="B25" i="13"/>
  <c r="C24" i="13"/>
  <c r="B24" i="13"/>
  <c r="C23" i="13"/>
  <c r="B23" i="13"/>
  <c r="D22" i="13"/>
  <c r="C22" i="13"/>
  <c r="B22" i="13"/>
  <c r="D21" i="13"/>
  <c r="C21" i="13"/>
  <c r="B21" i="13"/>
  <c r="C20" i="13"/>
  <c r="B20" i="13"/>
  <c r="D19" i="13"/>
  <c r="C19" i="13"/>
  <c r="B19" i="13"/>
  <c r="C18" i="13"/>
  <c r="B18" i="13"/>
  <c r="D12" i="13"/>
  <c r="B12" i="13"/>
  <c r="B11" i="13"/>
  <c r="C10" i="13"/>
  <c r="B10" i="13"/>
  <c r="C9" i="13"/>
  <c r="B9" i="13"/>
  <c r="I190" i="13" l="1"/>
  <c r="F230" i="13"/>
  <c r="G230" i="13"/>
  <c r="I193" i="13"/>
  <c r="I14" i="13"/>
  <c r="I72" i="13"/>
  <c r="E36" i="13"/>
  <c r="I36" i="13" s="1"/>
  <c r="I17" i="13"/>
  <c r="E38" i="13"/>
  <c r="I38" i="13" s="1"/>
  <c r="I230" i="13" l="1"/>
  <c r="I76" i="13"/>
  <c r="G1146" i="8" l="1"/>
  <c r="G1147" i="8"/>
  <c r="G1143" i="8"/>
  <c r="E915" i="8"/>
  <c r="G915" i="8" s="1"/>
  <c r="G918" i="8"/>
  <c r="G919" i="8" s="1"/>
  <c r="G134" i="13" s="1"/>
  <c r="G892" i="8"/>
  <c r="G890" i="8"/>
  <c r="G896" i="8"/>
  <c r="G895" i="8"/>
  <c r="G891" i="8"/>
  <c r="G879" i="8"/>
  <c r="G883" i="8"/>
  <c r="G878" i="8"/>
  <c r="E845" i="8"/>
  <c r="E835" i="8"/>
  <c r="G777" i="8"/>
  <c r="G781" i="8"/>
  <c r="G783" i="8"/>
  <c r="G780" i="8"/>
  <c r="G776" i="8"/>
  <c r="G763" i="8"/>
  <c r="G768" i="8"/>
  <c r="G769" i="8"/>
  <c r="G767" i="8"/>
  <c r="G766" i="8"/>
  <c r="G762" i="8"/>
  <c r="G770" i="8" l="1"/>
  <c r="G121" i="13" s="1"/>
  <c r="G1148" i="8"/>
  <c r="G146" i="13" s="1"/>
  <c r="G1144" i="8"/>
  <c r="F146" i="13" s="1"/>
  <c r="G880" i="8"/>
  <c r="F131" i="13" s="1"/>
  <c r="G893" i="8"/>
  <c r="F132" i="13" s="1"/>
  <c r="G916" i="8"/>
  <c r="G897" i="8"/>
  <c r="G132" i="13" s="1"/>
  <c r="G884" i="8"/>
  <c r="G131" i="13" s="1"/>
  <c r="G784" i="8"/>
  <c r="G122" i="13" s="1"/>
  <c r="G778" i="8"/>
  <c r="F122" i="13" s="1"/>
  <c r="G764" i="8"/>
  <c r="F121" i="13" s="1"/>
  <c r="G529" i="8"/>
  <c r="G530" i="8" s="1"/>
  <c r="G94" i="13" s="1"/>
  <c r="G525" i="8"/>
  <c r="G262" i="8"/>
  <c r="G259" i="8"/>
  <c r="G221" i="8"/>
  <c r="G166" i="8"/>
  <c r="G50" i="8"/>
  <c r="G48" i="8"/>
  <c r="H146" i="13" l="1"/>
  <c r="I146" i="13" s="1"/>
  <c r="G167" i="8"/>
  <c r="F32" i="13" s="1"/>
  <c r="H121" i="13"/>
  <c r="I121" i="13" s="1"/>
  <c r="H122" i="13"/>
  <c r="I122" i="13" s="1"/>
  <c r="H131" i="13"/>
  <c r="I131" i="13" s="1"/>
  <c r="H132" i="13"/>
  <c r="I132" i="13" s="1"/>
  <c r="G527" i="8"/>
  <c r="F94" i="13" s="1"/>
  <c r="G921" i="8"/>
  <c r="F134" i="13"/>
  <c r="G899" i="8"/>
  <c r="G886" i="8"/>
  <c r="G1150" i="8"/>
  <c r="G786" i="8"/>
  <c r="G772" i="8"/>
  <c r="G657" i="8"/>
  <c r="G658" i="8" s="1"/>
  <c r="G107" i="13" s="1"/>
  <c r="G248" i="8"/>
  <c r="E642" i="8"/>
  <c r="E643" i="8"/>
  <c r="E599" i="8"/>
  <c r="G518" i="8"/>
  <c r="G689" i="8"/>
  <c r="G688" i="8"/>
  <c r="G687" i="8"/>
  <c r="G686" i="8"/>
  <c r="G685" i="8"/>
  <c r="G681" i="8"/>
  <c r="G682" i="8"/>
  <c r="G680" i="8"/>
  <c r="H134" i="13" l="1"/>
  <c r="I134" i="13" s="1"/>
  <c r="G532" i="8"/>
  <c r="G655" i="8"/>
  <c r="G249" i="8"/>
  <c r="F93" i="13"/>
  <c r="G519" i="8"/>
  <c r="G93" i="13" s="1"/>
  <c r="G690" i="8"/>
  <c r="G111" i="13" s="1"/>
  <c r="G683" i="8"/>
  <c r="F111" i="13" s="1"/>
  <c r="F251" i="8" l="1"/>
  <c r="G251" i="8" s="1"/>
  <c r="G252" i="8" s="1"/>
  <c r="H111" i="13"/>
  <c r="I111" i="13" s="1"/>
  <c r="G660" i="8"/>
  <c r="F107" i="13"/>
  <c r="F46" i="13"/>
  <c r="G521" i="8"/>
  <c r="G692" i="8"/>
  <c r="G46" i="13" l="1"/>
  <c r="H46" i="13" s="1"/>
  <c r="I46" i="13" s="1"/>
  <c r="G254" i="8"/>
  <c r="H107" i="13"/>
  <c r="I107" i="13" s="1"/>
  <c r="H94" i="13"/>
  <c r="I94" i="13" s="1"/>
  <c r="H93" i="13" l="1"/>
  <c r="I93" i="13" s="1"/>
  <c r="G158" i="8" l="1"/>
  <c r="G159" i="8" s="1"/>
  <c r="G30" i="13" s="1"/>
  <c r="G155" i="8"/>
  <c r="E64" i="8"/>
  <c r="G156" i="8" l="1"/>
  <c r="G69" i="8"/>
  <c r="G161" i="8" l="1"/>
  <c r="F30" i="13"/>
  <c r="G80" i="8"/>
  <c r="G81" i="8" s="1"/>
  <c r="G22" i="13" s="1"/>
  <c r="F22" i="13"/>
  <c r="G53" i="8"/>
  <c r="G57" i="8" l="1"/>
  <c r="G19" i="13" s="1"/>
  <c r="H22" i="13"/>
  <c r="I22" i="13" s="1"/>
  <c r="H30" i="13"/>
  <c r="I30" i="13" s="1"/>
  <c r="G83" i="8"/>
  <c r="G49" i="8"/>
  <c r="G51" i="8" s="1"/>
  <c r="G16" i="8"/>
  <c r="G59" i="8" l="1"/>
  <c r="F19" i="13"/>
  <c r="G12" i="8"/>
  <c r="H19" i="13" l="1"/>
  <c r="I19" i="13" s="1"/>
  <c r="G64" i="8"/>
  <c r="G65" i="8" s="1"/>
  <c r="F21" i="13" s="1"/>
  <c r="G67" i="8"/>
  <c r="G68" i="8"/>
  <c r="G13" i="8"/>
  <c r="G14" i="8" s="1"/>
  <c r="F12" i="13" s="1"/>
  <c r="G17" i="8"/>
  <c r="G12" i="13" s="1"/>
  <c r="G116" i="8"/>
  <c r="G117" i="8"/>
  <c r="G120" i="8"/>
  <c r="G121" i="8"/>
  <c r="G122" i="8"/>
  <c r="G90" i="8"/>
  <c r="G91" i="8"/>
  <c r="G94" i="8"/>
  <c r="G95" i="8"/>
  <c r="G96" i="8"/>
  <c r="G103" i="8"/>
  <c r="G104" i="8"/>
  <c r="G107" i="8"/>
  <c r="G108" i="8"/>
  <c r="G169" i="8"/>
  <c r="G170" i="8" s="1"/>
  <c r="G32" i="13" s="1"/>
  <c r="G129" i="8"/>
  <c r="G130" i="8"/>
  <c r="G133" i="8"/>
  <c r="G134" i="8"/>
  <c r="G296" i="8"/>
  <c r="G297" i="8"/>
  <c r="G300" i="8"/>
  <c r="G301" i="8"/>
  <c r="G304" i="8"/>
  <c r="G305" i="8"/>
  <c r="G306" i="8"/>
  <c r="G317" i="8"/>
  <c r="G203" i="8"/>
  <c r="G204" i="8"/>
  <c r="G207" i="8"/>
  <c r="G208" i="8"/>
  <c r="G209" i="8"/>
  <c r="G218" i="8"/>
  <c r="G598" i="8"/>
  <c r="G599" i="8"/>
  <c r="G602" i="8"/>
  <c r="G603" i="8" s="1"/>
  <c r="G102" i="13" s="1"/>
  <c r="G642" i="8"/>
  <c r="G643" i="8"/>
  <c r="G646" i="8"/>
  <c r="G664" i="8"/>
  <c r="G667" i="8"/>
  <c r="G672" i="8" s="1"/>
  <c r="G845" i="8"/>
  <c r="G846" i="8" s="1"/>
  <c r="F128" i="13" s="1"/>
  <c r="G848" i="8"/>
  <c r="G849" i="8" s="1"/>
  <c r="G128" i="13" s="1"/>
  <c r="F123" i="13"/>
  <c r="G793" i="8"/>
  <c r="G794" i="8" s="1"/>
  <c r="G123" i="13" s="1"/>
  <c r="G825" i="8"/>
  <c r="G826" i="8" s="1"/>
  <c r="F126" i="13" s="1"/>
  <c r="G828" i="8"/>
  <c r="G829" i="8" s="1"/>
  <c r="G126" i="13" s="1"/>
  <c r="G835" i="8"/>
  <c r="G836" i="8" s="1"/>
  <c r="F127" i="13" s="1"/>
  <c r="G838" i="8"/>
  <c r="G839" i="8" s="1"/>
  <c r="G127" i="13" s="1"/>
  <c r="G903" i="8"/>
  <c r="G904" i="8"/>
  <c r="G907" i="8"/>
  <c r="G908" i="8"/>
  <c r="G1210" i="8"/>
  <c r="G1211" i="8" s="1"/>
  <c r="G156" i="13" s="1"/>
  <c r="H156" i="13" s="1"/>
  <c r="G1190" i="8"/>
  <c r="G1191" i="8"/>
  <c r="G1194" i="8"/>
  <c r="G1320" i="8"/>
  <c r="G1321" i="8"/>
  <c r="G1324" i="8"/>
  <c r="G1325" i="8"/>
  <c r="G1326" i="8"/>
  <c r="G1334" i="8"/>
  <c r="G1336" i="8"/>
  <c r="G1342" i="8"/>
  <c r="G1343" i="8"/>
  <c r="G1344" i="8"/>
  <c r="G1352" i="8"/>
  <c r="G1353" i="8" s="1"/>
  <c r="G1355" i="8"/>
  <c r="G1356" i="8" s="1"/>
  <c r="G169" i="13" s="1"/>
  <c r="G108" i="13" l="1"/>
  <c r="G309" i="8"/>
  <c r="G56" i="13" s="1"/>
  <c r="H128" i="13"/>
  <c r="I128" i="13" s="1"/>
  <c r="H126" i="13"/>
  <c r="I126" i="13" s="1"/>
  <c r="H32" i="13"/>
  <c r="I32" i="13" s="1"/>
  <c r="H127" i="13"/>
  <c r="I127" i="13" s="1"/>
  <c r="H123" i="13"/>
  <c r="I123" i="13" s="1"/>
  <c r="G1328" i="8"/>
  <c r="G166" i="13" s="1"/>
  <c r="G1345" i="8"/>
  <c r="G167" i="13" s="1"/>
  <c r="H12" i="13"/>
  <c r="I12" i="13" s="1"/>
  <c r="G263" i="8"/>
  <c r="G48" i="13" s="1"/>
  <c r="G222" i="8"/>
  <c r="G43" i="13" s="1"/>
  <c r="G905" i="8"/>
  <c r="F133" i="13" s="1"/>
  <c r="G1195" i="8"/>
  <c r="G152" i="13" s="1"/>
  <c r="G70" i="8"/>
  <c r="G219" i="8"/>
  <c r="F43" i="13" s="1"/>
  <c r="G298" i="8"/>
  <c r="F56" i="13" s="1"/>
  <c r="G135" i="8"/>
  <c r="G131" i="8"/>
  <c r="G105" i="8"/>
  <c r="F27" i="13" s="1"/>
  <c r="G97" i="8"/>
  <c r="G26" i="13" s="1"/>
  <c r="G796" i="8"/>
  <c r="G1322" i="8"/>
  <c r="F166" i="13" s="1"/>
  <c r="G260" i="8"/>
  <c r="F48" i="13" s="1"/>
  <c r="G1192" i="8"/>
  <c r="F152" i="13" s="1"/>
  <c r="G909" i="8"/>
  <c r="G133" i="13" s="1"/>
  <c r="G851" i="8"/>
  <c r="G647" i="8"/>
  <c r="G106" i="13" s="1"/>
  <c r="G318" i="8"/>
  <c r="G123" i="8"/>
  <c r="G210" i="8"/>
  <c r="G40" i="13" s="1"/>
  <c r="G1337" i="8"/>
  <c r="F167" i="13" s="1"/>
  <c r="G841" i="8"/>
  <c r="G644" i="8"/>
  <c r="F106" i="13" s="1"/>
  <c r="G172" i="8"/>
  <c r="G118" i="8"/>
  <c r="G205" i="8"/>
  <c r="F40" i="13" s="1"/>
  <c r="G665" i="8"/>
  <c r="F108" i="13" s="1"/>
  <c r="G92" i="8"/>
  <c r="F26" i="13" s="1"/>
  <c r="G19" i="8"/>
  <c r="G109" i="8"/>
  <c r="G27" i="13" s="1"/>
  <c r="G831" i="8"/>
  <c r="G600" i="8"/>
  <c r="G674" i="8" l="1"/>
  <c r="H26" i="13"/>
  <c r="I26" i="13" s="1"/>
  <c r="H152" i="13"/>
  <c r="I152" i="13" s="1"/>
  <c r="H108" i="13"/>
  <c r="I108" i="13" s="1"/>
  <c r="H43" i="13"/>
  <c r="I43" i="13" s="1"/>
  <c r="H167" i="13"/>
  <c r="I167" i="13" s="1"/>
  <c r="H40" i="13"/>
  <c r="I40" i="13" s="1"/>
  <c r="H166" i="13"/>
  <c r="I166" i="13" s="1"/>
  <c r="H56" i="13"/>
  <c r="I56" i="13" s="1"/>
  <c r="H27" i="13"/>
  <c r="I27" i="13" s="1"/>
  <c r="H133" i="13"/>
  <c r="I133" i="13" s="1"/>
  <c r="H48" i="13"/>
  <c r="I48" i="13" s="1"/>
  <c r="H106" i="13"/>
  <c r="I106" i="13" s="1"/>
  <c r="G1213" i="8"/>
  <c r="I156" i="13"/>
  <c r="G605" i="8"/>
  <c r="F102" i="13"/>
  <c r="G320" i="8"/>
  <c r="F58" i="13"/>
  <c r="G72" i="8"/>
  <c r="G21" i="13"/>
  <c r="G212" i="8"/>
  <c r="G311" i="8"/>
  <c r="G111" i="8"/>
  <c r="G911" i="8"/>
  <c r="G649" i="8"/>
  <c r="G224" i="8"/>
  <c r="G137" i="8"/>
  <c r="G1330" i="8"/>
  <c r="G1197" i="8"/>
  <c r="G99" i="8"/>
  <c r="G125" i="8"/>
  <c r="G1347" i="8"/>
  <c r="G265" i="8"/>
  <c r="H21" i="13" l="1"/>
  <c r="I21" i="13" s="1"/>
  <c r="G186" i="13"/>
  <c r="G232" i="13" s="1"/>
  <c r="H58" i="13"/>
  <c r="I58" i="13" s="1"/>
  <c r="H102" i="13"/>
  <c r="I102" i="13" s="1"/>
  <c r="G1358" i="8" l="1"/>
  <c r="F169" i="13"/>
  <c r="H169" i="13" l="1"/>
  <c r="I169" i="13" s="1"/>
  <c r="F186" i="13"/>
  <c r="F232" i="13" s="1"/>
  <c r="I186" i="13" l="1"/>
  <c r="I232" i="13" l="1"/>
  <c r="E236" i="13" l="1"/>
  <c r="E13" i="14" s="1"/>
  <c r="E16" i="14" s="1"/>
  <c r="E237" i="13"/>
  <c r="J5" i="13" l="1"/>
  <c r="E233" i="13"/>
  <c r="G233" i="13" l="1"/>
  <c r="G234" i="13" s="1"/>
  <c r="F233" i="13"/>
  <c r="F234" i="13" s="1"/>
  <c r="I233" i="13"/>
  <c r="I234" i="13" s="1"/>
</calcChain>
</file>

<file path=xl/sharedStrings.xml><?xml version="1.0" encoding="utf-8"?>
<sst xmlns="http://schemas.openxmlformats.org/spreadsheetml/2006/main" count="4512" uniqueCount="1272">
  <si>
    <t>CÓDIGO</t>
  </si>
  <si>
    <t>DESCRIÇÃO</t>
  </si>
  <si>
    <t>KG</t>
  </si>
  <si>
    <t>1.1</t>
  </si>
  <si>
    <t>M²</t>
  </si>
  <si>
    <t>ITEM</t>
  </si>
  <si>
    <t>UNID.</t>
  </si>
  <si>
    <t>QUANT.</t>
  </si>
  <si>
    <t>2.1</t>
  </si>
  <si>
    <t>2.2</t>
  </si>
  <si>
    <t>2.4</t>
  </si>
  <si>
    <t>M</t>
  </si>
  <si>
    <t>Chapisco</t>
  </si>
  <si>
    <t>Reboco</t>
  </si>
  <si>
    <t>MANUTENÇÃO CORRETIVA/SERVIÇOS EVENTUAIS</t>
  </si>
  <si>
    <t>1.2</t>
  </si>
  <si>
    <t>1.2.1</t>
  </si>
  <si>
    <t>1.2.2</t>
  </si>
  <si>
    <t>1.2.3</t>
  </si>
  <si>
    <t>Pinturas</t>
  </si>
  <si>
    <t>1.3</t>
  </si>
  <si>
    <t>1.4</t>
  </si>
  <si>
    <t>Cobertura</t>
  </si>
  <si>
    <t>1.5</t>
  </si>
  <si>
    <t>1.6</t>
  </si>
  <si>
    <t>Instalações Eletricas/Telefone/SPDA/Rede Estruturada</t>
  </si>
  <si>
    <t>1.7</t>
  </si>
  <si>
    <t>Instalações de prevenção e combate a incêndio</t>
  </si>
  <si>
    <t>1.8</t>
  </si>
  <si>
    <t>Instalações de Ar Condicionado</t>
  </si>
  <si>
    <t>Alvenaria</t>
  </si>
  <si>
    <t>1.2.1.1</t>
  </si>
  <si>
    <t>1.2.1.2</t>
  </si>
  <si>
    <t>1.2.1.3</t>
  </si>
  <si>
    <t>1.2.1.5</t>
  </si>
  <si>
    <t>1.2.2.1</t>
  </si>
  <si>
    <t>1.2.3.1</t>
  </si>
  <si>
    <t>1.2.3.2</t>
  </si>
  <si>
    <t>1.2.3.3</t>
  </si>
  <si>
    <t>Paredes/Divisórias</t>
  </si>
  <si>
    <t>Serralheria</t>
  </si>
  <si>
    <t>Cerâmica/Porcelanato</t>
  </si>
  <si>
    <t>Granito</t>
  </si>
  <si>
    <t>Madeira</t>
  </si>
  <si>
    <t>Furos</t>
  </si>
  <si>
    <t>Divisórias</t>
  </si>
  <si>
    <t>1.1.3</t>
  </si>
  <si>
    <t>1.1.4</t>
  </si>
  <si>
    <t>1.1.5</t>
  </si>
  <si>
    <t>Pisos, rodapés, soleiras e peitoris</t>
  </si>
  <si>
    <t>Carpete</t>
  </si>
  <si>
    <t>1.2.2.1.1</t>
  </si>
  <si>
    <t>1.2.2.1.2</t>
  </si>
  <si>
    <t>Modulares</t>
  </si>
  <si>
    <t>Argamassa</t>
  </si>
  <si>
    <t>Reboco/Emboço/Massa Única</t>
  </si>
  <si>
    <t>1.2.2.3</t>
  </si>
  <si>
    <t>1.2.2.3.1</t>
  </si>
  <si>
    <t>1.1.6</t>
  </si>
  <si>
    <t>1.2.3.1.1</t>
  </si>
  <si>
    <t>1.2.3.1.2</t>
  </si>
  <si>
    <t>1.9</t>
  </si>
  <si>
    <t>1.10</t>
  </si>
  <si>
    <t>1.2.2.4</t>
  </si>
  <si>
    <t>1.3.1</t>
  </si>
  <si>
    <t>Pisos, pavimentações, rodapés, soleiras, peitoris</t>
  </si>
  <si>
    <t>Forros modulares</t>
  </si>
  <si>
    <t>1.3.1.4</t>
  </si>
  <si>
    <t>Pintura Acrílica</t>
  </si>
  <si>
    <t>Demarcação/faixas</t>
  </si>
  <si>
    <t>Pintura a base de cal</t>
  </si>
  <si>
    <t>Pintura Esmalte/óleo</t>
  </si>
  <si>
    <t>1.4.1</t>
  </si>
  <si>
    <t>1.4.2</t>
  </si>
  <si>
    <t>1.4.4</t>
  </si>
  <si>
    <t>1.4.5</t>
  </si>
  <si>
    <t>Fibrocimento</t>
  </si>
  <si>
    <t>Metálica</t>
  </si>
  <si>
    <t>Vidros</t>
  </si>
  <si>
    <t>1.5.2</t>
  </si>
  <si>
    <t>1.6.1</t>
  </si>
  <si>
    <t>1.6.2</t>
  </si>
  <si>
    <t>1.6.3</t>
  </si>
  <si>
    <t>Tratamentos/Isolamentos/Impermeabilizações</t>
  </si>
  <si>
    <t>Impermeabilizações</t>
  </si>
  <si>
    <t>1.8.3</t>
  </si>
  <si>
    <t>Tubos e conexões</t>
  </si>
  <si>
    <t>Ferragens</t>
  </si>
  <si>
    <t>1.4.6</t>
  </si>
  <si>
    <t>1.6.2.2</t>
  </si>
  <si>
    <t>1.6.4</t>
  </si>
  <si>
    <t>1.9.2</t>
  </si>
  <si>
    <t>1.9.3</t>
  </si>
  <si>
    <t>1.11</t>
  </si>
  <si>
    <t>1.11.1</t>
  </si>
  <si>
    <t>1.12</t>
  </si>
  <si>
    <t>Sensores, iluminação de emergência</t>
  </si>
  <si>
    <t>1.11.2</t>
  </si>
  <si>
    <t>1.11.3</t>
  </si>
  <si>
    <t>Tomadas e interruptores</t>
  </si>
  <si>
    <t>Quadros, disjuntores</t>
  </si>
  <si>
    <t>SPDA</t>
  </si>
  <si>
    <t>Rede estruturada</t>
  </si>
  <si>
    <t>Instalações Elétricas</t>
  </si>
  <si>
    <t>1.11.1.1</t>
  </si>
  <si>
    <t>1.11.1.2</t>
  </si>
  <si>
    <t>1.11.1.5</t>
  </si>
  <si>
    <t>Intervenções civis</t>
  </si>
  <si>
    <t>Pintura</t>
  </si>
  <si>
    <t>2.2.6</t>
  </si>
  <si>
    <t>2.2.7</t>
  </si>
  <si>
    <t>2.4.6</t>
  </si>
  <si>
    <t>2.4.7</t>
  </si>
  <si>
    <t>2.1.9</t>
  </si>
  <si>
    <t>2.2.9</t>
  </si>
  <si>
    <t>2.4.8</t>
  </si>
  <si>
    <t>2.4.9</t>
  </si>
  <si>
    <t>1.1.7</t>
  </si>
  <si>
    <t>1.1.3.1</t>
  </si>
  <si>
    <t>1.1.6.1</t>
  </si>
  <si>
    <t>1.1.7.1</t>
  </si>
  <si>
    <t>1.1.7.2</t>
  </si>
  <si>
    <t>1.2.1.1.1</t>
  </si>
  <si>
    <t>1.2.1.1.2</t>
  </si>
  <si>
    <t>1.2.1.2.1</t>
  </si>
  <si>
    <t>1.2.1.3.3</t>
  </si>
  <si>
    <t>1.2.1.3.4</t>
  </si>
  <si>
    <t>1.2.1.5.1</t>
  </si>
  <si>
    <t>1.2.2.1.1.1</t>
  </si>
  <si>
    <t>1.2.2.1.2.1</t>
  </si>
  <si>
    <t>1.2.2.4.2</t>
  </si>
  <si>
    <t>1.2.3.1.2.1</t>
  </si>
  <si>
    <t>1.2.3.2.1</t>
  </si>
  <si>
    <t>1.2.3.1.1.1</t>
  </si>
  <si>
    <t>1.3.2</t>
  </si>
  <si>
    <t>1.3.1.4.1</t>
  </si>
  <si>
    <t>1.3.1.4.2</t>
  </si>
  <si>
    <t>1.3.2.1</t>
  </si>
  <si>
    <t>1.3.2.1.1</t>
  </si>
  <si>
    <t>1.3.2.1.2</t>
  </si>
  <si>
    <t>1.4.1.1</t>
  </si>
  <si>
    <t>1.4.2.1</t>
  </si>
  <si>
    <t>1.4.4.1</t>
  </si>
  <si>
    <t>1.4.4.2</t>
  </si>
  <si>
    <t>1.4.4.3</t>
  </si>
  <si>
    <t>1.4.5.1</t>
  </si>
  <si>
    <t>1.4.5.2</t>
  </si>
  <si>
    <t>1.4.6.1</t>
  </si>
  <si>
    <t>1.5.2.1</t>
  </si>
  <si>
    <t>1.6.2.2.1</t>
  </si>
  <si>
    <t>1.6.3.1</t>
  </si>
  <si>
    <t>1.6.3.2</t>
  </si>
  <si>
    <t>1.6.3.3</t>
  </si>
  <si>
    <t>1.6.3.4</t>
  </si>
  <si>
    <t>1.6.3.5</t>
  </si>
  <si>
    <t>1.6.4.1</t>
  </si>
  <si>
    <t>1.6.4.2</t>
  </si>
  <si>
    <t>1.6.4.3</t>
  </si>
  <si>
    <t>1.6.4.4</t>
  </si>
  <si>
    <t>1.6.4.5</t>
  </si>
  <si>
    <t>1.6.4.6</t>
  </si>
  <si>
    <t>1.7.5</t>
  </si>
  <si>
    <t>1.7.5.1</t>
  </si>
  <si>
    <t>1.9.2.2</t>
  </si>
  <si>
    <t>1.9.2.3</t>
  </si>
  <si>
    <t>1.9.2.5</t>
  </si>
  <si>
    <t>1.9.2.6</t>
  </si>
  <si>
    <t>1.9.3.1</t>
  </si>
  <si>
    <t>1.12.1</t>
  </si>
  <si>
    <t>1.11.1.1.1</t>
  </si>
  <si>
    <t>1.11.1.2.1</t>
  </si>
  <si>
    <t>1.11.1.2.2</t>
  </si>
  <si>
    <t>1.11.1.5.1</t>
  </si>
  <si>
    <t>1.11.1.5.2</t>
  </si>
  <si>
    <t>2.2.7.1</t>
  </si>
  <si>
    <t>2.2.9.1</t>
  </si>
  <si>
    <t>2.4.6.1</t>
  </si>
  <si>
    <t>TIPO</t>
  </si>
  <si>
    <t xml:space="preserve"> TOTAL : </t>
  </si>
  <si>
    <t xml:space="preserve"> MAT.: </t>
  </si>
  <si>
    <t>UN</t>
  </si>
  <si>
    <t>DISJUNTOR TIPO NEMA, MONOPOLAR 10 ATE 30A, TENSAO MAXIMA DE 240 V</t>
  </si>
  <si>
    <t>MATERIAL</t>
  </si>
  <si>
    <t xml:space="preserve"> MDO:</t>
  </si>
  <si>
    <t>H</t>
  </si>
  <si>
    <t>ELETRICISTA COM ENCARGOS COMPLEMENTARES</t>
  </si>
  <si>
    <t>MÃO-DE-OBRA</t>
  </si>
  <si>
    <t>TOTAL</t>
  </si>
  <si>
    <t>PREÇO</t>
  </si>
  <si>
    <t>COEFICIENTE</t>
  </si>
  <si>
    <t>UN.</t>
  </si>
  <si>
    <t>unid.</t>
  </si>
  <si>
    <t xml:space="preserve">Unidade: </t>
  </si>
  <si>
    <t xml:space="preserve"> COMP. PRÓPRIA </t>
  </si>
  <si>
    <t>INTERRUPTOR SIMPLES 10A, 250V (APENAS MODULO)</t>
  </si>
  <si>
    <t>SUPORTE DE FIXACAO PARA ESPELHO / PLACA 4" X 2", PARA 3 MODULOS, PARA INSTALACAO DE TOMADAS E INTERRUPTORES (SOMENTE SUPORTE)</t>
  </si>
  <si>
    <t>ESPELHO / PLACA DE 3 POSTOS 4" X 2", PARA INSTALACAO DE TOMADAS E INTERRUPTORES</t>
  </si>
  <si>
    <t>AUXILIAR DE ELETRICISTA COM ENCARGOS COMPLEMENTARES</t>
  </si>
  <si>
    <t>REJUNTE COLORIDO, CIMENTICIO</t>
  </si>
  <si>
    <t>ARGAMASSA COLANTE AC I PARA CERAMICAS</t>
  </si>
  <si>
    <t xml:space="preserve"> H </t>
  </si>
  <si>
    <t>SERVENTE COM ENCARGOS COMPLEMENTARES</t>
  </si>
  <si>
    <t>AZULEJISTA OU LADRILHISTA COM ENCARGOS COMPLEMENTARES</t>
  </si>
  <si>
    <t>m²</t>
  </si>
  <si>
    <t>CHI</t>
  </si>
  <si>
    <t>CHP</t>
  </si>
  <si>
    <t>M2</t>
  </si>
  <si>
    <t>CJ</t>
  </si>
  <si>
    <t>FITA VEDA ROSCA EM ROLOS DE 18 MM X 50 M (L X C)</t>
  </si>
  <si>
    <t>FITA VEDA ROSCA EM ROLOS DE 18 MM X 10 M (L X C)</t>
  </si>
  <si>
    <t>ENCANADOR OU BOMBEIRO HIDRÁULICO COM ENCARGOS COMPLEMENTARES</t>
  </si>
  <si>
    <t>AUXILIAR DE ENCANADOR OU BOMBEIRO HIDRÁULICO COM ENCARGOS COMPLEMENTARES</t>
  </si>
  <si>
    <t>CARPINTEIRO DE ESQUADRIA COM ENCARGOS COMPLEMENTARES</t>
  </si>
  <si>
    <t>L</t>
  </si>
  <si>
    <t>m</t>
  </si>
  <si>
    <t>PEDREIRO COM ENCARGOS COMPLEMENTARES</t>
  </si>
  <si>
    <t>CENTO</t>
  </si>
  <si>
    <t>PARAFUSO DRY WALL, EM ACO ZINCADO, CABECA LENTILHA E PONTA BROCA (LB), LARGURA 4,2 MM, COMPRIMENTO 13 MM</t>
  </si>
  <si>
    <t>PARAFUSO DRY WALL, EM ACO FOSFATIZADO, CABECA TROMBETA E PONTA AGULHA (TA), COMPRIMENTO 25 MM</t>
  </si>
  <si>
    <t>MASSA DE REJUNTE EM PO PARA DRYWALL, A BASE DE GESSO, SECAGEM RAPIDA, PARA TRATAMENTO DE JUNTAS DE CHAPA DE GESSO (COM ADICAO DE AGUA)</t>
  </si>
  <si>
    <t>FITA DE PAPEL REFORCADA COM LAMINA DE METAL PARA REFORCO DE CANTOS DE CHAPA DE GESSO PARA DRYWALL</t>
  </si>
  <si>
    <t>PENDURAL OU PRESILHA REGULADORA, EM ACO GALVANIZADO, COM CORPO, MOLA E REBITE, PARA PERFIL TIPO CANALETA DE ESTRUTURA EM FORROS DRYWALL</t>
  </si>
  <si>
    <t>CHAPA DE GESSO ACARTONADO, STANDARD (ST), COR BRANCA, E = 12,5 MM, 1200 X 2400 MM (L X C)</t>
  </si>
  <si>
    <t>ARAME GALVANIZADO 10 BWG, 3,40 MM (0,0713 KG/M)</t>
  </si>
  <si>
    <t>MONTADOR DE ESTRUTURA METÁLICA COM ENCARGOS COMPLEMENTARES</t>
  </si>
  <si>
    <t xml:space="preserve"> m² </t>
  </si>
  <si>
    <t>SOLEIRA EM GRANITO AMARELO SANTA CECÍLIA LARG=15 A 20CM</t>
  </si>
  <si>
    <t xml:space="preserve"> m</t>
  </si>
  <si>
    <t>ARGAMASSA COLANTE TIPO ACIII</t>
  </si>
  <si>
    <t>MARMORISTA/GRANITEIRO COM ENCARGOS COMPLEMENTARES</t>
  </si>
  <si>
    <t>ARGAMASSA TRAÇO 1:3 (CIMENTO E AREIA MÉDIA), PREPARO MANUAL. AF_08/2014</t>
  </si>
  <si>
    <t>CIMENTO BRANCO</t>
  </si>
  <si>
    <t>m³</t>
  </si>
  <si>
    <t>GRAUTE CIMENTICIO PARA USO GERAL</t>
  </si>
  <si>
    <t>Acabamento Internos</t>
  </si>
  <si>
    <t>Lona plástica preta para proteção</t>
  </si>
  <si>
    <t>LONA PLASTICA PRETA, E= 150 MICRA</t>
  </si>
  <si>
    <t>CAMINHÃO BASCULANTE 6 M3, PESO BRUTO TOTAL 16.000 KG, CARGA ÚTIL MÁXIMA 13.071 KG, DISTÂNCIA ENTRE EIXOS 4,80 M, POTÊNCIA 230 CV INCLUSIVE CAÇAMBA METÁLICA - CHI DIURNO. AF_06/2014</t>
  </si>
  <si>
    <t>CAMINHÃO BASCULANTE 6 M3, PESO BRUTO TOTAL 16.000 KG, CARGA ÚTIL MÁXIMA 13.071 KG, DISTÂNCIA ENTRE EIXOS 4,80 M, POTÊNCIA 230 CV INCLUSIVE CAÇAMBA METÁLICA - CHP DIURNO. AF_06/2014</t>
  </si>
  <si>
    <t>REFERÊNCIA:</t>
  </si>
  <si>
    <t>REFERÊNCIA</t>
  </si>
  <si>
    <t>SINAPI. 72897/72900</t>
  </si>
  <si>
    <t>Considerado 30 min para transporte interno de 20 sacos</t>
  </si>
  <si>
    <t>UNID</t>
  </si>
  <si>
    <t>1.2.1.2.2</t>
  </si>
  <si>
    <t>ADESIVO ACRILICO/COLA DE CONTATO</t>
  </si>
  <si>
    <t>MERCADO</t>
  </si>
  <si>
    <t>Revestimento de paredes/divisórias/cortinas/persianas</t>
  </si>
  <si>
    <t>1.2.2.4.2.1</t>
  </si>
  <si>
    <t>1.2.2.6</t>
  </si>
  <si>
    <t>1.2.2.6.1</t>
  </si>
  <si>
    <t>1.2.3.3.2</t>
  </si>
  <si>
    <t>Acabamento Externos</t>
  </si>
  <si>
    <t>M3</t>
  </si>
  <si>
    <t>Caiação em meio fio</t>
  </si>
  <si>
    <t>Textura acrílica em parede, uma demão</t>
  </si>
  <si>
    <t>Pintura esmalte, duas demãos</t>
  </si>
  <si>
    <t>Pintura acrílica em piso cimentado, duas demãos</t>
  </si>
  <si>
    <t>Fundo anticorrosivo zarcão, uma demão</t>
  </si>
  <si>
    <t>Estrutura em aço para fixação e suporte de elementos arquitetônicos e/ou de instalações</t>
  </si>
  <si>
    <t>CONTRATO 71/2013-15.13.1</t>
  </si>
  <si>
    <t>PERFIL "U" DE ACO LAMINADO, "U" 152 X 15,6</t>
  </si>
  <si>
    <t>PERFIL "I" DE ACO LAMINADO, "I" 152 X 22</t>
  </si>
  <si>
    <t>CANTONEIRA ACO ABAS IGUAIS (QUALQUER BITOLA), ESPESSURA ENTRE 1/8" E 1/4"</t>
  </si>
  <si>
    <t>ELETRODO REVESTIDO AWS - E6013, DIAMETRO IGUAL A 4,00 MM</t>
  </si>
  <si>
    <t>SERRALHEIRO  COM ENCARGOS COMPLEMENTARES</t>
  </si>
  <si>
    <t>SOLDADOR  COM ENCARGOS COMPLEMENTARES</t>
  </si>
  <si>
    <t>AUXILIAR DE SERRALHEIRO  COM ENCARGOS COMPLEMENTARES</t>
  </si>
  <si>
    <t>kg</t>
  </si>
  <si>
    <t>GRUPO DE SOLDAGEM COM GERADOR A DIESEL 60 CV PARA SOLDA ELÉTRICA, SOBRE 04 RODAS, COM MOTOR 4 CILINDROS 600 A - CHP DIURNO. AF_02/2016</t>
  </si>
  <si>
    <t>Estruturas de fixação</t>
  </si>
  <si>
    <t>310ML</t>
  </si>
  <si>
    <t>SINAPI. 90830</t>
  </si>
  <si>
    <t>MARCENEIRO COM ENCARGOS COMPLEMENTARES</t>
  </si>
  <si>
    <t>1.6.4.7</t>
  </si>
  <si>
    <t>Tubo PVC soldavel água fria 25mm, incluso conexões, cortes e fixações</t>
  </si>
  <si>
    <t>Tubo PVC série normal esgoto predial 40mm, incluso conexões, cortes e fixações</t>
  </si>
  <si>
    <t>Tubo PVC soldavel água fria 32mm, incluso conexões, cortes e fixações</t>
  </si>
  <si>
    <t>Tubo PVC série normal esgoto predial 50mm, incluso conexões, cortes e fixações</t>
  </si>
  <si>
    <t>Tubo PVC série R água pluvial 75mm, incluso conexões, cortes e fixações</t>
  </si>
  <si>
    <t>Tubo PVC série R água pluvial 100mm, incluso conexões, cortes e fixações</t>
  </si>
  <si>
    <t>Tubo PVC série normal esgoto predial 100mm, incluso conexões, cortes e fixações</t>
  </si>
  <si>
    <t>1.9.2.7</t>
  </si>
  <si>
    <t>1.9.2.8</t>
  </si>
  <si>
    <t>Instalações Hidro-sanitárias</t>
  </si>
  <si>
    <t>1.9.1.1</t>
  </si>
  <si>
    <t>Louças e metais</t>
  </si>
  <si>
    <t>1.10.2</t>
  </si>
  <si>
    <t>1.10.2.1</t>
  </si>
  <si>
    <t>LUMINARIA DE EMERGENCIA 30 LEDS, POTENCIA 2 W, BATERIA DE LITIO, AUTONOMIA DE 6 HORAS</t>
  </si>
  <si>
    <t>TRANSPORTE HORIZONTAL, TUBOS DE AÇO CARBONO LEVE OU MÉDIO, PRETO OU GALVANIZADO, COM DIÂMETRO MAIOR QUE 40 MM E MENOR OU IGUAL A 65 MM, MANUAL, 30M. AF_06/2015</t>
  </si>
  <si>
    <t>Teto</t>
  </si>
  <si>
    <t>Esquadrias/vidros</t>
  </si>
  <si>
    <t>Limpeza/Proteções</t>
  </si>
  <si>
    <t>Cortinas e Persianas</t>
  </si>
  <si>
    <t>Forro de gesso</t>
  </si>
  <si>
    <t>1.3.2.1.2.1</t>
  </si>
  <si>
    <t>SINAPI.87891</t>
  </si>
  <si>
    <t>SINAPI.87504</t>
  </si>
  <si>
    <t>SINAPI.83693</t>
  </si>
  <si>
    <t>SINAPI.88489</t>
  </si>
  <si>
    <t>SINAPI.74245/1</t>
  </si>
  <si>
    <t>SINAPI.95305</t>
  </si>
  <si>
    <t>SINAPI.74064/2</t>
  </si>
  <si>
    <t>SINAPI.73924/3</t>
  </si>
  <si>
    <t>SINAPI.41595</t>
  </si>
  <si>
    <t>SINAPI.94223</t>
  </si>
  <si>
    <t>Aluminio</t>
  </si>
  <si>
    <t>SINAPI.85421+84959</t>
  </si>
  <si>
    <t>SINAPI.85421+85004</t>
  </si>
  <si>
    <t>SINAPI.85421+72123</t>
  </si>
  <si>
    <t>SINAPI.85421+85005</t>
  </si>
  <si>
    <t>SINAPI.74046/2</t>
  </si>
  <si>
    <t>SINAPI.74047/2</t>
  </si>
  <si>
    <t>SINAPI.84886</t>
  </si>
  <si>
    <t>Considerado meia hora para troca de um acessório</t>
  </si>
  <si>
    <t>SINAPI.73753/1</t>
  </si>
  <si>
    <t>Impermeabilização com manta asfaltica com aluminio 3mm</t>
  </si>
  <si>
    <t>1.6.2.2.2</t>
  </si>
  <si>
    <t>unid</t>
  </si>
  <si>
    <t>PARAFUSO NIQUELADO COM ACABAMENTO CROMADO PARA FIXAR PECA SANITARIA, INCLUI PORCA CEGA, ARRUELA E BUCHA DE NYLON TAMANHO S-10</t>
  </si>
  <si>
    <t>VEDACAO PVC, 100 MM, PARA SAIDA VASO SANITARIO</t>
  </si>
  <si>
    <t>REJUNTE EPOXI BRANCO</t>
  </si>
  <si>
    <t>PARAFUSO NIQUELADO 3 1/2" COM ACABAMENTO CROMADO PARA FIXAR PECA SANITARIA, INCLUI PORCA CEGA, ARRUELA E BUCHA DE NYLON TAMANHO S-8</t>
  </si>
  <si>
    <t>VALVULA EM METAL CROMADO PARA LAVATORIO, 1 " SEM LADRAO</t>
  </si>
  <si>
    <t>1.9.1.3</t>
  </si>
  <si>
    <t>1.9.1.6</t>
  </si>
  <si>
    <t>SINAPI.91785</t>
  </si>
  <si>
    <t>SINAPI.91786</t>
  </si>
  <si>
    <t>SINAPI.91792</t>
  </si>
  <si>
    <t>SINAPI.91793</t>
  </si>
  <si>
    <t>SINAPI.91795</t>
  </si>
  <si>
    <t>SINAPI.91789</t>
  </si>
  <si>
    <t>SINAPI.91790</t>
  </si>
  <si>
    <t>Torneira de boia roscavel 3/4"</t>
  </si>
  <si>
    <t>SINAPI.94796</t>
  </si>
  <si>
    <t>Equipamentos/Acessórios</t>
  </si>
  <si>
    <t>1.9.1.4</t>
  </si>
  <si>
    <t>Bomba de recalque dágua trifasica até 1,5 HP</t>
  </si>
  <si>
    <t>SINAPI.83647</t>
  </si>
  <si>
    <t>1.9.1.7</t>
  </si>
  <si>
    <t>1.9.1.8</t>
  </si>
  <si>
    <t>CRITÉRIO TRF</t>
  </si>
  <si>
    <t>1.9.1.10</t>
  </si>
  <si>
    <t>1.9.1.11</t>
  </si>
  <si>
    <t>1.9.1.12</t>
  </si>
  <si>
    <t>1.9.1.13</t>
  </si>
  <si>
    <t xml:space="preserve">RESISTENCIA PARA CHUVEIRO </t>
  </si>
  <si>
    <t>1.9.3.2</t>
  </si>
  <si>
    <t>1.9.3.3</t>
  </si>
  <si>
    <t>1.9.3.4</t>
  </si>
  <si>
    <t>CAIXA PARA  HIDROMETRO COM ACRILICO - PADRÃO CASAN</t>
  </si>
  <si>
    <t>Caixa de hidrometro padrão CASAN</t>
  </si>
  <si>
    <t>Teste no sistema de alarme</t>
  </si>
  <si>
    <t>Limpeza e desinfecção de reservatório de água potável, conforme normas da ANVISA</t>
  </si>
  <si>
    <t>Recarga de extintores água pressurizada 10l</t>
  </si>
  <si>
    <t>SEMESTRAL</t>
  </si>
  <si>
    <t>visita</t>
  </si>
  <si>
    <t>ANUAL</t>
  </si>
  <si>
    <t>MENSAL</t>
  </si>
  <si>
    <t>Instalações Hidrossanitárias e de GLP</t>
  </si>
  <si>
    <t>Revisão geral dos quadros elétricos  (reaperto, aterramento, temperatura, limpeza, etc)</t>
  </si>
  <si>
    <t>Limpeza de caixas de passagem, de inspeção e de gordura</t>
  </si>
  <si>
    <t>Inspeção visual do SPDA e verificação de acordo com NBR-5419 - captores, descidas, conexões</t>
  </si>
  <si>
    <t>1.1.4.1</t>
  </si>
  <si>
    <t>2.5</t>
  </si>
  <si>
    <t>SERVIÇO INICIAL</t>
  </si>
  <si>
    <t xml:space="preserve">Elaboração PMOC </t>
  </si>
  <si>
    <t>Serviços mensais PMOC</t>
  </si>
  <si>
    <t>2.1.9.1</t>
  </si>
  <si>
    <t>Conj.</t>
  </si>
  <si>
    <t>Serviços semestrais PMOC</t>
  </si>
  <si>
    <t>M/QUINZENA</t>
  </si>
  <si>
    <t>SINAPI.85421+72120</t>
  </si>
  <si>
    <t>CÓD. REFERÊNCIA</t>
  </si>
  <si>
    <t>MDO</t>
  </si>
  <si>
    <t>TRIBUNAL DE CONTAS DA UNIÃO                                                                                                      Secretaria de Engenharia</t>
  </si>
  <si>
    <t>BDI:</t>
  </si>
  <si>
    <t>CUSTOS TOTAIS (R$)</t>
  </si>
  <si>
    <t>Concreto/Cimentado</t>
  </si>
  <si>
    <t>1.9.1.5</t>
  </si>
  <si>
    <t>Impermeabilização de superficie com mastique betuminoso a frio, por metro</t>
  </si>
  <si>
    <t>SINAPI.74025/1</t>
  </si>
  <si>
    <t>ISS</t>
  </si>
  <si>
    <t>PIS</t>
  </si>
  <si>
    <t>COFINS</t>
  </si>
  <si>
    <t>Administração Central</t>
  </si>
  <si>
    <t>Riscos e Imprevistos</t>
  </si>
  <si>
    <t>Despesas Financeiras</t>
  </si>
  <si>
    <t>Lucro Bruto</t>
  </si>
  <si>
    <t>Seguros e Garantias</t>
  </si>
  <si>
    <t xml:space="preserve">MAT </t>
  </si>
  <si>
    <t>CONTRATO 71/2013-27.3.4</t>
  </si>
  <si>
    <t>Considerações/Observações</t>
  </si>
  <si>
    <t>SACO DE RAFIA PARA ENTULHO, NOVO, LISO (SEM CLICHE), *60 x 90* CM</t>
  </si>
  <si>
    <t>AJUDANTE ESPECIALIZADO COM ENCARGOS COMPLEMENTARES</t>
  </si>
  <si>
    <t>COLA A BASE DE RESINA SINTETICA PARA CHAPA DE LAMINADO MELAMINICO</t>
  </si>
  <si>
    <t>RODAPE DE MADEIRA MACICA CUMARU/IPE CHAMPANHE OU EQUIVALENTE DA REGIAO, *1,5 X 7 CM</t>
  </si>
  <si>
    <t>Consumo fabricante (Cola de Contato Formica): 270 a 400 g/m²</t>
  </si>
  <si>
    <t>SINAPI.87876</t>
  </si>
  <si>
    <t>ARGAMASSA INDUSTRIALIZADA PARA CHAPISCO ROLADO, PREPARO MANUAL. AF_06/2014</t>
  </si>
  <si>
    <t>SINAPI.87538</t>
  </si>
  <si>
    <t xml:space="preserve">Chapisco em argamassa industrializada,  aplicado em alvenaria e estruturas de concreto </t>
  </si>
  <si>
    <t>ARGAMASSA INDUSTRIALIZADA PARA REVESTIMENTOS, MISTURA E PROJEÇÃO DE 1,5 M³/H DE ARGAMASSA. AF_06/2014</t>
  </si>
  <si>
    <t>BLOCO CERAMICO (ALVENARIA DE VEDACAO), DE 9 X 19 X 19 CM</t>
  </si>
  <si>
    <t>MIL</t>
  </si>
  <si>
    <t>TELA DE ACO SOLDADA GALVANIZADA/ZINCADA PARA ALVENARIA, FIO D = *1,20 A 1,70* MM, MALHA 15 X 15 MM, (C X L) *50 X 7,5* CM</t>
  </si>
  <si>
    <t>PINO DE ACO COM FURO, HASTE = 27 MM (ACAO DIRETA)</t>
  </si>
  <si>
    <t>ARGAMASSA TRAÇO 1:2:8 (CIMENTO, CAL E AREIA MÉDIA) PARA EMBOÇO/MASSA ÚNICA/ASSENTAMENTO DE ALVENARIA DE VEDAÇÃO, PREPARO MANUAL. AF_06/2014</t>
  </si>
  <si>
    <t>1.2.2.4.2.2</t>
  </si>
  <si>
    <t>1.2.2.4.2.3</t>
  </si>
  <si>
    <t>Tijolo Cerâmico</t>
  </si>
  <si>
    <t>SINAPI.87886</t>
  </si>
  <si>
    <t>Chapisco aplicado no teto, com argamassa industrializada</t>
  </si>
  <si>
    <t>ARGAMASSA INDUSTRIALIZADA PARA CHAPISCO COLANTE, PREPARO MANUAL. AF_06/2014</t>
  </si>
  <si>
    <t>SINAPI.94990</t>
  </si>
  <si>
    <t>CARPINTEIRO DE FORMAS COM ENCARGOS COMPLEMENTARES</t>
  </si>
  <si>
    <t>SARRAFO DE MADEIRA NAO APARELHADA *2,5 X 10 CM, MACARANDUBA, ANGELIM OU EQUIVALENTE DA REGIAO</t>
  </si>
  <si>
    <t>PECA DE MADEIRA NATIVA/REGIONAL 2,5 X 7,0 CM (SARRAFO-P/FORMA)</t>
  </si>
  <si>
    <t>CONCRETO FCK = 20MPA, TRAÇO 1:2,7:3 (CIMENTO/ AREIA MÉDIA/ BRITA 1)  - PREPARO MECÂNICO COM BETONEIRA 400 L. AF_07/2016</t>
  </si>
  <si>
    <t>Piso cimentado rústico  traço 1:4, esp.3,5cm</t>
  </si>
  <si>
    <t>ARGAMASSA TRAÇO 1:4 (CIMENTO E AREIA MÉDIA), PREPARO MANUAL. AF_08/2014</t>
  </si>
  <si>
    <t xml:space="preserve"> m³</t>
  </si>
  <si>
    <t>SINAPI.87800</t>
  </si>
  <si>
    <t>Massa única aplicada em fachada, com argamassa industrializada esp.35mm</t>
  </si>
  <si>
    <t>Chapisco em fachada com argamassa industrializada</t>
  </si>
  <si>
    <t>Massa única em paredes internas, com argamassa industrializada esp.20mm</t>
  </si>
  <si>
    <t>Massa única em teto, com argamassa industrializada esp.20mm</t>
  </si>
  <si>
    <t>Massa/Fundo Selador</t>
  </si>
  <si>
    <t>PINTOR COM ENCARGOS COMPLEMENTARES</t>
  </si>
  <si>
    <t>LIXA EM FOLHA PARA PAREDE OU MADEIRA, NUMERO 120 (COR VERMELHA)</t>
  </si>
  <si>
    <t>CAL VIRGEM COMUM PARA ARGAMASSAS (NBR 6453)</t>
  </si>
  <si>
    <t>TINTA ACRILICA PREMIUM, COR BRANCO FOSCO</t>
  </si>
  <si>
    <t>TINTA ACRILICA PREMIUM PARA PISO</t>
  </si>
  <si>
    <t>MASSA PARA TEXTURA LISA DE BASE ACRILICA, USO INTERNO E EXTERNO</t>
  </si>
  <si>
    <t>FUNDO ANTICORROSIVO PARA METAIS FERROSOS (ZARCAO)</t>
  </si>
  <si>
    <t>LIXA EM FOLHA PARA FERRO, NUMERO 150</t>
  </si>
  <si>
    <t>SOLVENTE DILUENTE A BASE DE AGUARRAS</t>
  </si>
  <si>
    <t>TINTA ESMALTE SINTETICO PREMIUM FOSCO</t>
  </si>
  <si>
    <t>TINTA EPOXI PREMIUM, BRANCA</t>
  </si>
  <si>
    <t>FITA CREPE ROLO DE 25 MM X 50 M</t>
  </si>
  <si>
    <t>Pintura epoxi de faixas de demarcação até 10cm</t>
  </si>
  <si>
    <t>Telhado</t>
  </si>
  <si>
    <t>1.5.2.1.1</t>
  </si>
  <si>
    <t>TELHADISTA COM ENCARGOS COMPLEMENTARES</t>
  </si>
  <si>
    <t>CONJUNTO ARRUELAS DE VEDACAO 5/16" PARA TELHA FIBROCIMENTO (UMA ARRUELA METALICA E UMA ARRUELA PVC - CONICAS)</t>
  </si>
  <si>
    <t>PARAFUSO ZINCADO ROSCA SOBERBA, CABECA SEXTAVADA, 5/16 " X 250 MM, PARA FIXACAO DE TELHA EM MADEIRA</t>
  </si>
  <si>
    <t>TELHA DE FIBROCIMENTO ONDULADA E = 6 MM, DE 2,44 X 1,10 M (SEM AMIANTO)</t>
  </si>
  <si>
    <t>GUINDASTE HIDRÁULICO AUTOPROPELIDO, COM LANÇA TELESCÓPICA 40 M, CAPACIDADE MÁXIMA 60 T, POTÊNCIA 260 KW - CHP DIURNO. AF_03/2016</t>
  </si>
  <si>
    <t>GUINDASTE HIDRÁULICO AUTOPROPELIDO, COM LANÇA TELESCÓPICA 40 M, CAPACIDADE MÁXIMA 60 T, POTÊNCIA 260 KW - CHI DIURNO. AF_03/2016</t>
  </si>
  <si>
    <t>1.5.2.1.2</t>
  </si>
  <si>
    <t>Substituição de telha ondulada fibrocimento esp.6mm, incluso acessórios de fixação e içamento</t>
  </si>
  <si>
    <t>CUMEEIRA UNIVERSAL PARA TELHA ONDULADA DE FIBROCIMENTO, E = 6 MM, ABA 210 MM, COMPRIMENTO 1100 MM (SEM AMIANTO)</t>
  </si>
  <si>
    <t>Substituição de fechos das esquadrias existentes</t>
  </si>
  <si>
    <t>Substituição de vidro liso comum transparente 6mm</t>
  </si>
  <si>
    <t>VIDRACEIRO COM ENCARGOS COMPLEMENTARES</t>
  </si>
  <si>
    <t>VIDRO LISO INCOLOR 6 MM - SEM COLOCACAO</t>
  </si>
  <si>
    <t>MASSA PARA VIDRO</t>
  </si>
  <si>
    <t>Substituição de vidro fantasia/canelado 4mm</t>
  </si>
  <si>
    <t>VIDRO MARTELADO OU CANELADO, 4 MM - SEM COLOCACAO</t>
  </si>
  <si>
    <t>Substituição de vidro aramado 7mm</t>
  </si>
  <si>
    <t>VIDRO PLANO ARMADO E = 7MM - SEM COLOCACAO</t>
  </si>
  <si>
    <t xml:space="preserve">Substituição de vidro temperado incolor 10mm </t>
  </si>
  <si>
    <t>VIDRO TEMPERADO INCOLOR E = 10 MM, SEM COLOCACAO</t>
  </si>
  <si>
    <t>PARAFUSO FRANCES M16 EM ACO GALVANIZADO, COMPRIMENTO = 45 MM, DIAMETRO = 16 MM, CABECA ABAULADA</t>
  </si>
  <si>
    <t>ESPELHO CRISTAL E = 4 MM</t>
  </si>
  <si>
    <t>AJUDANTE DE CARPINTEIRO COM ENCARGOS COMPLEMENTARES</t>
  </si>
  <si>
    <t>Dobradiças 3" X 21/2"</t>
  </si>
  <si>
    <t>Mola hidraulica de piso para porta de vidro temperado</t>
  </si>
  <si>
    <t>MOLA HIDRAULICA DE PISO P/ VIDRO TEMPERADO 10MM</t>
  </si>
  <si>
    <t xml:space="preserve"> SINAPI.84886</t>
  </si>
  <si>
    <t>Mola aérea fecha porta</t>
  </si>
  <si>
    <t>Fechadura para porta de vidro</t>
  </si>
  <si>
    <t>Acessórios de armário embutido (corrediças, dobradiças, pistão a gás, cantoneira, fechaduras</t>
  </si>
  <si>
    <t>IMPERMEABILIZADOR COM ENCARGOS COMPLEMENTARES</t>
  </si>
  <si>
    <t>TINTA ASFALTICA IMPERMEABILIZANTE DISPERSA EM AGUA, PARA MATERIAIS CIMENTICIOS</t>
  </si>
  <si>
    <t>1.8.3.2</t>
  </si>
  <si>
    <t>PRIMER PARA MANTA ASFALTICA A BASE DE ASFALTO MODIFICADO DILUIDO EM SOLVENTE, APLICACAO A FRIO</t>
  </si>
  <si>
    <t>MANTA ASFALTICA ELASTOMERICA EM POLIESTER 4 MM, TIPO III, CLASSE B, ACABAMENTO PP (NBR 9952)</t>
  </si>
  <si>
    <t>1.8.3.3</t>
  </si>
  <si>
    <t>MANTA LIQUIDA DE BASE ASFALTICA MODIFICADA COM A ADICAO DE ELASTOMEROS DILUIDOS EM SOLVENTE ORGANICO, APLICACAO A FRIO (MEMBRANA IMPERMEABILIZANTE ASFASTICA)</t>
  </si>
  <si>
    <t>MANTA ASFALTICA ELASTOMERICA EM POLIESTER ALUMINIZADA 3 MM, TIPO III, CLASSE B (NBR 9952)</t>
  </si>
  <si>
    <t>1.8.3.4</t>
  </si>
  <si>
    <t>ARGAMASSA POLIMERICA IMPERMEABILIZANTE SEMIFLEXIVEL, BICOMPONENTE (MEMBRANA IMPERMEABILIZANTE ACRILICA)</t>
  </si>
  <si>
    <t>MANTA TERMOPLASTICA, PEAD, GEOMEMBRANA LISA, E = 2,00 MM ( NBR 15352)</t>
  </si>
  <si>
    <t>SINAPI.72075+74033/1</t>
  </si>
  <si>
    <t xml:space="preserve">SINAPI.72075+74033/1 </t>
  </si>
  <si>
    <t>1.8.3.5</t>
  </si>
  <si>
    <t>SELANTE ELASTICO MONOCOMPONENTE A BASE DE POLIURETANO PARA JUNTAS DIVERSAS</t>
  </si>
  <si>
    <t>1.8.3.6</t>
  </si>
  <si>
    <t>AREIA MEDIA - POSTO JAZIDA/FORNECEDOR (RETIRADO NA JAZIDA, SEM TRANSPORTE)</t>
  </si>
  <si>
    <t>CIMENTO PORTLAND COMPOSTO CP II-32</t>
  </si>
  <si>
    <t>SELANTE DE BASE ASFALTICA PARA VEDACAO</t>
  </si>
  <si>
    <t>PAPEL KRAFT BETUMADO</t>
  </si>
  <si>
    <t xml:space="preserve">Substituição de vaso sanitário com caixa acoplada </t>
  </si>
  <si>
    <t>1.9.1</t>
  </si>
  <si>
    <t>Substituição de lavatório de coluna</t>
  </si>
  <si>
    <t>DUCHA METALICA DE PAREDE, ARTICULAVEL, COM BRACO/CANO, SEM DESVIADOR</t>
  </si>
  <si>
    <t>SABONETEIRA/TOALHEIRO/PAPELEIRA</t>
  </si>
  <si>
    <t>Considerado 45 min para instalação</t>
  </si>
  <si>
    <t>1.9.1.9</t>
  </si>
  <si>
    <t>ESTOPA</t>
  </si>
  <si>
    <t>VALVULA DE DESCARGA METALICA, BASE 1 1/2 " E ACABAMENTO METALICO CROMADO</t>
  </si>
  <si>
    <t xml:space="preserve">SINAPI.40729 </t>
  </si>
  <si>
    <t>1.9.1.15</t>
  </si>
  <si>
    <t>1.9.1.16</t>
  </si>
  <si>
    <t>Considerado 15 min para instalação</t>
  </si>
  <si>
    <t>Grelha inox abre/fecha 150mm</t>
  </si>
  <si>
    <t>Substituição de torneira deca</t>
  </si>
  <si>
    <t>Substituição de torneira eletrica</t>
  </si>
  <si>
    <t>CHUVEIRO COMUM EM PLASTICO CROMADO, COM CANO, 4 TEMPERATURAS (110/220 V)</t>
  </si>
  <si>
    <t>Chuveiro comum em plastico cromado, com cano, 4 temperaturas (110/220 V)</t>
  </si>
  <si>
    <t>Considerado 30 min para instalação</t>
  </si>
  <si>
    <t>1.9.2.1</t>
  </si>
  <si>
    <t xml:space="preserve">SINAPI.91785 </t>
  </si>
  <si>
    <t>FURO EM ALVENARIA PARA DIÂMETROS MENORES OU IGUAIS A 40 MM. AF_05/2015</t>
  </si>
  <si>
    <t>RASGO EM ALVENARIA PARA RAMAIS/ DISTRIBUIÇÃO COM DIAMETROS MENORES OU IGUAIS A 40 MM. AF_05/2015</t>
  </si>
  <si>
    <t>PASSANTE TIPO TUBO DE DIÂMETRO MENOR OU IGUAL A 40 MM, FIXADO EM LAJE. AF_05/2015</t>
  </si>
  <si>
    <t>CHUMBAMENTO LINEAR EM ALVENARIA PARA RAMAIS/DISTRIBUIÇÃO COM DIÂMETROS MENORES OU IGUAIS A 40 MM. AF_05/2015</t>
  </si>
  <si>
    <t>FIXAÇÃO DE TUBOS HORIZONTAIS DE PVC, CPVC OU COBRE DIÂMETROS MENORES OU IGUAIS A 40 MM COM ABRAÇADEIRA METÁLICA FLEXÍVEL 18 MM, FIXADA DIRETAMENTE NA LAJE. AF_05/2015</t>
  </si>
  <si>
    <t>CHUMBAMENTO PONTUAL EM PASSAGEM DE TUBO COM DIÂMETRO MENOR OU IGUAL A 40 MM. AF_05/2015</t>
  </si>
  <si>
    <t>TUBO, PVC, SOLDÁVEL, DN 25MM, INSTALADO EM RAMAL OU SUB-RAMAL DE ÁGUA - FORNECIMENTO E INSTALAÇÃO. AF_12/2014</t>
  </si>
  <si>
    <t>JOELHO 90 GRAUS, PVC, SOLDÁVEL, DN 25MM, INSTALADO EM RAMAL OU SUB-RAMAL DE ÁGUA - FORNECIMENTO E INSTALAÇÃO. AF_12/2014</t>
  </si>
  <si>
    <t>JOELHO 90 GRAUS COM BUCHA DE LATÃO, PVC, SOLDÁVEL, DN 25MM, X 3/4 INSTALADO EM RAMAL OU SUB-RAMAL DE ÁGUA - FORNECIMENTO E INSTALAÇÃO. AF_12/2014</t>
  </si>
  <si>
    <t>LUVA, PVC, SOLDÁVEL, DN 25MM, INSTALADO EM RAMAL OU SUB-RAMAL DE ÁGUA - FORNECIMENTO E INSTALAÇÃO. AF_12/2014</t>
  </si>
  <si>
    <t>ADAPTADOR CURTO COM BOLSA E ROSCA PARA REGISTRO, PVC, SOLDÁVEL, DN 25MM X 3/4, INSTALADO EM RAMAL OU SUB-RAMAL DE ÁGUA - FORNECIMENTO E INSTALAÇÃO. AF_12/2014</t>
  </si>
  <si>
    <t>TE, PVC, SOLDÁVEL, DN 25MM, INSTALADO EM RAMAL OU SUB-RAMAL DE ÁGUA - FORNECIMENTO E INSTALAÇÃO. AF_12/2014</t>
  </si>
  <si>
    <t>TÊ COM BUCHA DE LATÃO NA BOLSA CENTRAL, PVC, SOLDÁVEL, DN 25MM X 1/2, INSTALADO EM RAMAL OU SUB-RAMAL DE ÁGUA - FORNECIMENTO E INSTALAÇÃO. AF_12/2014</t>
  </si>
  <si>
    <t>TÊ DE REDUÇÃO, PVC, SOLDÁVEL, DN 32MM X 25MM, INSTALADO EM RAMAL OU SUB-RAMAL DE ÁGUA - FORNECIMENTO E INSTALAÇÃO. AF_12/2014</t>
  </si>
  <si>
    <t>TUBO, PVC, SOLDÁVEL, DN 25MM, INSTALADO EM RAMAL DE DISTRIBUIÇÃO DE ÁGUA - FORNECIMENTO E INSTALAÇÃO. AF_12/2014</t>
  </si>
  <si>
    <t>JOELHO 90 GRAUS, PVC, SOLDÁVEL, DN 25MM, INSTALADO EM RAMAL DE DISTRIBUIÇÃO DE ÁGUA - FORNECIMENTO E INSTALAÇÃO. AF_12/2014</t>
  </si>
  <si>
    <t>LUVA, PVC, SOLDÁVEL, DN 25MM, INSTALADO EM RAMAL DE DISTRIBUIÇÃO DE ÁGUA - FORNECIMENTO E INSTALAÇÃO. AF_12/2014</t>
  </si>
  <si>
    <t>TE, PVC, SOLDÁVEL, DN 25MM, INSTALADO EM RAMAL DE DISTRIBUIÇÃO DE ÁGUA - FORNECIMENTO E INSTALAÇÃO. AF_12/2014</t>
  </si>
  <si>
    <t>TÊ DE REDUÇÃO, PVC, SOLDÁVEL, DN 32MM X 25MM, INSTALADO EM RAMAL DE DISTRIBUIÇÃO DE ÁGUA - FORNECIMENTO E INSTALAÇÃO. AF_12/2014</t>
  </si>
  <si>
    <t>TUBO, PVC, SOLDÁVEL, DN 25MM, INSTALADO EM PRUMADA DE ÁGUA - FORNECIMENTO E INSTALAÇÃO. AF_12/2014</t>
  </si>
  <si>
    <t>JOELHO 90 GRAUS, PVC, SOLDÁVEL, DN 25MM, INSTALADO EM PRUMADA DE ÁGUA - FORNECIMENTO E INSTALAÇÃO. AF_12/2014</t>
  </si>
  <si>
    <t>LUVA, PVC, SOLDÁVEL, DN 25MM, INSTALADO EM PRUMADA DE ÁGUA - FORNECIMENTO E INSTALAÇÃO. AF_12/2014</t>
  </si>
  <si>
    <t>LUVA DE REDUÇÃO, PVC, SOLDÁVEL, DN 32MM X 25MM, INSTALADO EM PRUMADA DE ÁGUA - FORNECIMENTO E INSTALAÇÃO. AF_12/2014</t>
  </si>
  <si>
    <t>TÊ DE REDUÇÃO, PVC, SOLDÁVEL, DN 32MM X 25MM, INSTALADO EM PRUMADA DE ÁGUA - FORNECIMENTO E INSTALAÇÃO. AF_12/2014</t>
  </si>
  <si>
    <t>TÊ DE REDUÇÃO, PVC, SOLDÁVEL, DN 50MM X 25MM, INSTALADO EM PRUMADA DE ÁGUA - FORNECIMENTO E INSTALAÇÃO. AF_12/2014</t>
  </si>
  <si>
    <t>TUBO, PVC, SOLDÁVEL, DN 32MM, INSTALADO EM RAMAL OU SUB-RAMAL DE ÁGUA - FORNECIMENTO E INSTALAÇÃO. AF_12/2014</t>
  </si>
  <si>
    <t>LUVA, PVC, SOLDÁVEL, DN 32MM, INSTALADO EM RAMAL OU SUB-RAMAL DE ÁGUA - FORNECIMENTO E INSTALAÇÃO. AF_12/2014</t>
  </si>
  <si>
    <t>LUVA DE REDUÇÃO, PVC, SOLDÁVEL, DN 40MM X 32MM, INSTALADO EM RAMAL OU SUB-RAMAL DE ÁGUA - FORNECIMENTO E INSTALAÇÃO. AF_12/2014</t>
  </si>
  <si>
    <t>TE, PVC, SOLDÁVEL, DN 32MM, INSTALADO EM RAMAL OU SUB-RAMAL DE ÁGUA - FORNECIMENTO E INSTALAÇÃO. AF_12/2014</t>
  </si>
  <si>
    <t>TUBO, PVC, SOLDÁVEL, DN 32MM, INSTALADO EM RAMAL DE DISTRIBUIÇÃO DE ÁGUA - FORNECIMENTO E INSTALAÇÃO. AF_12/2014</t>
  </si>
  <si>
    <t>JOELHO 90 GRAUS, PVC, SOLDÁVEL, DN 32MM, INSTALADO EM RAMAL DE DISTRIBUIÇÃO DE ÁGUA - FORNECIMENTO E INSTALAÇÃO. AF_12/2014</t>
  </si>
  <si>
    <t>JOELHO 45 GRAUS, PVC, SOLDÁVEL, DN 32MM, INSTALADO EM RAMAL DE DISTRIBUIÇÃO DE ÁGUA - FORNECIMENTO E INSTALAÇÃO. AF_12/2014</t>
  </si>
  <si>
    <t>LUVA, PVC, SOLDÁVEL, DN 32MM, INSTALADO EM RAMAL DE DISTRIBUIÇÃO DE ÁGUA - FORNECIMENTO E INSTALAÇÃO. AF_12/2014</t>
  </si>
  <si>
    <t>UNIÃO, PVC, SOLDÁVEL, DN 32MM, INSTALADO EM RAMAL DE DISTRIBUIÇÃO DE ÁGUA - FORNECIMENTO E INSTALAÇÃO. AF_12/2014</t>
  </si>
  <si>
    <t>ADAPTADOR CURTO COM BOLSA E ROSCA PARA REGISTRO, PVC, SOLDÁVEL, DN 32MM X 1, INSTALADO EM RAMAL DE DISTRIBUIÇÃO DE ÁGUA - FORNECIMENTO E INSTALAÇÃO. AF_12/2014</t>
  </si>
  <si>
    <t>TE, PVC, SOLDÁVEL, DN 32MM, INSTALADO EM RAMAL DE DISTRIBUIÇÃO DE ÁGUA - FORNECIMENTO E INSTALAÇÃO. AF_12/2014</t>
  </si>
  <si>
    <t>TUBO, PVC, SOLDÁVEL, DN 32MM, INSTALADO EM PRUMADA DE ÁGUA - FORNECIMENTO E INSTALAÇÃO. AF_12/2014</t>
  </si>
  <si>
    <t>JOELHO 90 GRAUS, PVC, SOLDÁVEL, DN 32MM, INSTALADO EM PRUMADA DE ÁGUA - FORNECIMENTO E INSTALAÇÃO. AF_12/2014</t>
  </si>
  <si>
    <t>LUVA, PVC, SOLDÁVEL, DN 32MM, INSTALADO EM PRUMADA DE ÁGUA - FORNECIMENTO E INSTALAÇÃO. AF_12/2014</t>
  </si>
  <si>
    <t>ADAPTADOR CURTO COM BOLSA E ROSCA PARA REGISTRO, PVC, SOLDÁVEL, DN 32MM X 1, INSTALADO EM PRUMADA DE ÁGUA - FORNECIMENTO E INSTALAÇÃO. AF_12/2014</t>
  </si>
  <si>
    <t>LUVA DE REDUÇÃO, PVC, SOLDÁVEL, DN 40MM X 32MM, INSTALADO EM PRUMADA DE ÁGUA - FORNECIMENTO E INSTALAÇÃO. AF_12/2014</t>
  </si>
  <si>
    <t>TE, PVC, SOLDÁVEL, DN 32MM, INSTALADO EM PRUMADA DE ÁGUA - FORNECIMENTO E INSTALAÇÃO. AF_12/2014</t>
  </si>
  <si>
    <t>TÊ DE REDUÇÃO, PVC, SOLDÁVEL, DN 40MM X 32MM, INSTALADO EM PRUMADA DE ÁGUA - FORNECIMENTO E INSTALAÇÃO. AF_12/2014</t>
  </si>
  <si>
    <t>FURO EM CONCRETO PARA DIÂMETROS MENORES OU IGUAIS A 40 MM. AF_05/2015</t>
  </si>
  <si>
    <t>TUBO PVC, SERIE NORMAL, ESGOTO PREDIAL, DN 40 MM,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</si>
  <si>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</si>
  <si>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</si>
  <si>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LUVA SIMPLES, PVC, SERIE NORMAL, ESGOTO PREDIAL, DN 40 MM, JUNTA SOLDÁVEL, FORNECIDO E INSTALADO EM RAMAL DE DESCARGA OU RAMAL DE ESGOTO SANITÁRIO. AF_12/2014</t>
  </si>
  <si>
    <t>JUNÇÃO SIMPLES, PVC, SERIE NORMAL, ESGOTO PREDIAL, DN 40 MM, JUNTA SOLDÁVEL, FORNECIDO E INSTALADO EM RAMAL DE DESCARGA OU RAMAL DE ESGOTO SANITÁRIO. AF_12/2014</t>
  </si>
  <si>
    <t>1.9.2.4</t>
  </si>
  <si>
    <t>FURO EM ALVENARIA PARA DIÂMETROS MAIORES QUE 40 MM E MENORES OU IGUAIS A 75 MM. AF_05/2015</t>
  </si>
  <si>
    <t>PASSANTE TIPO TUBO DE DIÂMETRO MAIORES QUE 40 MM E MENORES OU IGUAIS A 75 MM, FIXADO EM LAJE. AF_05/2015</t>
  </si>
  <si>
    <t>CHUMBAMENTO LINEAR EM ALVENARIA PARA RAMAIS/DISTRIBUIÇÃO COM DIÂMETROS MAIORES QUE 40 MM E MENORES OU IGUAIS A 75 MM. AF_05/2015</t>
  </si>
  <si>
    <t>FIXAÇÃO DE TUBOS HORIZONTAIS DE PVC, CPVC OU COBRE DIÂMETROS MAIORES QUE 40 MM E MENORES OU IGUAIS A 75 MM COM ABRAÇADEIRA METÁLICA FLEXÍVEL 18 MM, FIXADA DIRETAMENTE NA LAJE. AF_05/2015</t>
  </si>
  <si>
    <t>CHUMBAMENTO PONTUAL EM PASSAGEM DE TUBO COM DIÂMETROS ENTRE 40 MM E 75 MM. AF_05/2015</t>
  </si>
  <si>
    <t>RASGO EM ALVENARIA PARA RAMAIS/ DISTRIBUIÇÃO COM DIÂMETROS MAIORES QUE 40 MM E MENORES OU IGUAIS A 75 MM. AF_05/2015</t>
  </si>
  <si>
    <t>TUBO PVC, SERIE NORMAL, ESGOTO PREDIAL, DN 50 MM,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</si>
  <si>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</si>
  <si>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</si>
  <si>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LUVA SIMPLES, PVC, SERIE NORMAL, ESGOTO PREDIAL, DN 50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</si>
  <si>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</si>
  <si>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LUVA SIMPLES, PVC, SERIE NORMAL, ESGOTO PREDIAL, DN 50 MM, JUNTA ELÁSTICA, FORNECIDO E INSTALADO EM PRUMADA DE ESGOTO SANITÁRIO OU VENTILAÇÃO. AF_12/2014</t>
  </si>
  <si>
    <t>FURO EM ALVENARIA PARA DIÂMETROS MAIORES QUE 75 MM. AF_05/2015</t>
  </si>
  <si>
    <t>PASSANTE TIPO TUBO DE DIÂMETRO MAIOR QUE 75 MM, FIXADO EM LAJE. AF_05/2015</t>
  </si>
  <si>
    <t>FIXAÇÃO DE TUBOS HORIZONTAIS DE PVC, CPVC OU COBRE DIÂMETROS MAIORES QUE 75 MM COM ABRAÇADEIRA METÁLICA FLEXÍVEL 18 MM, FIXADA DIRETAMENTE NA LAJE. AF_05/2015</t>
  </si>
  <si>
    <t>CHUMBAMENTO PONTUAL EM PASSAGEM DE TUBO COM DIÂMETRO MAIOR QUE 75 MM. AF_05/2015</t>
  </si>
  <si>
    <t>TUBO PVC, SERIE NORMAL, ESGOTO PREDIAL, DN 100 MM,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</si>
  <si>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</si>
  <si>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CURVA CURTA 90 GRAUS, PVC, SERIE NORMAL, ESGOTO PREDIAL, DN 100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</si>
  <si>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</si>
  <si>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TE, PVC, SERIE NORMAL, ESGOTO PREDIAL, DN 100 X 100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</si>
  <si>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</si>
  <si>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TUBO PVC, SERIE NORMAL, ESGOTO PREDIAL, DN 100 MM, FORNECIDO E INSTALADO EM PRUMADA DE ESGOTO SANITÁRIO OU VENTILAÇÃO. AF_12/2014</t>
  </si>
  <si>
    <t>JOELHO 45 GRAUS, PVC, SERIE NORMAL, ESGOTO PREDIAL, DN 100 MM, JUNTA ELÁSTICA, FORNECIDO E INSTALADO EM PRUMADA DE ESGOTO SANITÁRIO OU VENTILAÇÃO. AF_12/2014</t>
  </si>
  <si>
    <t>LUVA SIMPLES, PVC, SERIE NORMAL, ESGOTO PREDIAL, DN 100 MM, JUNTA ELÁSTICA, FORNECIDO E INSTALADO EM PRUMADA DE ESGOTO SANITÁRIO OU VENTILAÇÃO. AF_12/2014</t>
  </si>
  <si>
    <t>TE, PVC, SERIE NORMAL, ESGOTO PREDIAL, DN 100 X 100 MM, JUNTA ELÁSTICA, FORNECIDO E INSTALADO EM PRUMADA DE ESGOTO SANITÁRIO OU VENTILAÇÃO. AF_12/2014</t>
  </si>
  <si>
    <t>JUNÇÃO SIMPLES, PVC, SERIE NORMAL, ESGOTO PREDIAL, DN 100 X 100 MM, JUNTA ELÁSTICA, FORNECIDO E INSTALADO EM PRUMADA DE ESGOTO SANITÁRIO OU VENTILAÇÃO. AF_12/2014</t>
  </si>
  <si>
    <t>TUBO PVC, SERIE NORMAL, ESGOTO PREDIAL, DN 100 MM, FORNECIDO E INSTALADO EM SUBCOLETOR AÉREO DE ESGOTO SANITÁRIO. AF_12/2014</t>
  </si>
  <si>
    <t>JOELHO 45 GRAUS, PVC, SERIE NORMAL, ESGOTO PREDIAL, DN 100 MM, JUNTA ELÁSTICA, FORNECIDO E INSTALADO EM SUBCOLETOR AÉREO DE ESGOTO SANITÁRIO. AF_12/2014</t>
  </si>
  <si>
    <t>LUVA SIMPLES, PVC, SERIE NORMAL, ESGOTO PREDIAL, DN 100 MM, JUNTA ELÁSTICA, FORNECIDO E INSTALADO EM SUBCOLETOR AÉREO DE ESGOTO SANITÁRIO. AF_12/2014</t>
  </si>
  <si>
    <t>JUNÇÃO SIMPLES, PVC, SERIE NORMAL, ESGOTO PREDIAL, DN 100 X 100 MM, JUNTA ELÁSTICA, FORNECIDO E INSTALADO EM SUBCOLETOR AÉREO DE ESGOTO SANITÁRIO. AF_12/2014</t>
  </si>
  <si>
    <t>TUBO PVC, SÉRIE R, ÁGUA PLUVIAL, DN 75 MM, FORNECIDO E INSTALADO EM RAMAL DE ENCAMINHAMENTO. AF_12/2014</t>
  </si>
  <si>
    <t>JOELHO 90 GRAUS, PVC, SERIE R, ÁGUA PLUVIAL, DN 75 MM, JUNTA ELÁSTICA, FORNECIDO E INSTALADO EM RAMAL DE ENCAMINHAMENTO. AF_12/2014</t>
  </si>
  <si>
    <t>JOELHO 45 GRAUS, PVC, SERIE R, ÁGUA PLUVIAL, DN 75 MM, JUNTA ELÁSTICA, FORNECIDO E INSTALADO EM RAMAL DE ENCAMINHAMENTO. AF_12/2014</t>
  </si>
  <si>
    <t>LUVA SIMPLES, PVC, SERIE R, ÁGUA PLUVIAL, DN 75 MM, JUNTA ELÁSTICA, FORNECIDO E INSTALADO EM RAMAL DE ENCAMINHAMENTO. AF_12/2014</t>
  </si>
  <si>
    <t>REDUÇÃO EXCÊNTRICA, PVC, SERIE R, ÁGUA PLUVIAL, DN 100 X 75 MM, JUNTA ELÁSTICA, FORNECIDO E INSTALADO EM RAMAL DE ENCAMINHAMENTO. AF_12/2014</t>
  </si>
  <si>
    <t>TUBO PVC, SÉRIE R, ÁGUA PLUVIAL, DN 75 MM, FORNECIDO E INSTALADO EM CONDUTORES VERTICAIS DE ÁGUAS PLUVIAIS. AF_12/2014</t>
  </si>
  <si>
    <t>JOELHO 90 GRAUS, PVC, SERIE R, ÁGUA PLUVIAL, DN 75 MM, JUNTA ELÁSTICA, FORNECIDO E INSTALADO EM CONDUTORES VERTICAIS DE ÁGUAS PLUVIAIS. AF_12/2014</t>
  </si>
  <si>
    <t>JOELHO 45 GRAUS, PVC, SERIE R, ÁGUA PLUVIAL, DN 75 MM, JUNTA ELÁSTICA, FORNECIDO E INSTALADO EM CONDUTORES VERTICAIS DE ÁGUAS PLUVIAIS. AF_12/2014</t>
  </si>
  <si>
    <t>LUVA SIMPLES, PVC, SERIE R, ÁGUA PLUVIAL, DN 75 MM, JUNTA ELÁSTICA, FORNECIDO E INSTALADO EM CONDUTORES VERTICAIS DE ÁGUAS PLUVIAIS. AF_12/2014</t>
  </si>
  <si>
    <t>JUNÇÃO SIMPLES, PVC, SERIE R, ÁGUA PLUVIAL, DN 75 X 75 MM, JUNTA ELÁSTICA, FORNECIDO E INSTALADO EM CONDUTORES VERTICAIS DE ÁGUAS PLUVIAIS. AF_12/2014</t>
  </si>
  <si>
    <t>TÊ, PVC, SERIE R, ÁGUA PLUVIAL, DN 75 X 75 MM, JUNTA ELÁSTICA, FORNECIDO E INSTALADO EM CONDUTORES VERTICAIS DE ÁGUAS PLUVIAIS. AF_12/2014</t>
  </si>
  <si>
    <t>JUNÇÃO SIMPLES, PVC, SERIE R, ÁGUA PLUVIAL, DN 100 X 75 MM, JUNTA ELÁSTICA, FORNECIDO E INSTALADO EM CONDUTORES VERTICAIS DE ÁGUAS PLUVIAIS. AF_12/2014</t>
  </si>
  <si>
    <t>TUBO PVC, SÉRIE R, ÁGUA PLUVIAL, DN 100 MM, FORNECIDO E INSTALADO EM RAMAL DE ENCAMINHAMENTO. AF_12/2014</t>
  </si>
  <si>
    <t>JOELHO 90 GRAUS, PVC, SERIE R, ÁGUA PLUVIAL, DN 100 MM, JUNTA ELÁSTICA, FORNECIDO E INSTALADO EM RAMAL DE ENCAMINHAMENTO. AF_12/2014</t>
  </si>
  <si>
    <t>LUVA SIMPLES, PVC, SERIE R, ÁGUA PLUVIAL, DN 100 MM, JUNTA ELÁSTICA, FORNECIDO E INSTALADO EM RAMAL DE ENCAMINHAMENTO. AF_12/2014</t>
  </si>
  <si>
    <t>TÊ DE INSPEÇÃO, PVC, SERIE R, ÁGUA PLUVIAL, DN 100 MM, JUNTA ELÁSTICA, FORNECIDO E INSTALADO EM RAMAL DE ENCAMINHAMENTO. AF_12/2014</t>
  </si>
  <si>
    <t>TUBO PVC, SÉRIE R, ÁGUA PLUVIAL, DN 100 MM, FORNECIDO E INSTALADO EM CONDUTORES VERTICAIS DE ÁGUAS PLUVIAIS. AF_12/2014</t>
  </si>
  <si>
    <t>JOELHO 90 GRAUS, PVC, SERIE R, ÁGUA PLUVIAL, DN 100 MM, JUNTA ELÁSTICA, FORNECIDO E INSTALADO EM CONDUTORES VERTICAIS DE ÁGUAS PLUVIAIS. AF_12/2014</t>
  </si>
  <si>
    <t>JOELHO 45 GRAUS, PVC, SERIE R, ÁGUA PLUVIAL, DN 100 MM, JUNTA ELÁSTICA, FORNECIDO E INSTALADO EM CONDUTORES VERTICAIS DE ÁGUAS PLUVIAIS. AF_12/2014</t>
  </si>
  <si>
    <t>LUVA SIMPLES, PVC, SERIE R, ÁGUA PLUVIAL, DN 100 MM, JUNTA ELÁSTICA, FORNECIDO E INSTALADO EM CONDUTORES VERTICAIS DE ÁGUAS PLUVIAIS. AF_12/2014</t>
  </si>
  <si>
    <t>REDUÇÃO EXCÊNTRICA, PVC, SERIE R, ÁGUA PLUVIAL, DN 100 X 75 MM, JUNTA ELÁSTICA, FORNECIDO E INSTALADO EM CONDUTORES VERTICAIS DE ÁGUAS PLUVIAIS. AF_12/2014</t>
  </si>
  <si>
    <t>TÊ DE INSPEÇÃO, PVC, SERIE R, ÁGUA PLUVIAL, DN 100 MM, JUNTA ELÁSTICA, FORNECIDO E INSTALADO EM CONDUTORES VERTICAIS DE ÁGUAS PLUVIAIS. AF_12/2014</t>
  </si>
  <si>
    <t>REDUÇÃO EXCÊNTRICA, PVC, SERIE R, ÁGUA PLUVIAL, DN 150 X 100 MM, JUNTA ELÁSTICA, FORNECIDO E INSTALADO EM CONDUTORES VERTICAIS DE ÁGUAS PLUVIAIS. AF_12/2014</t>
  </si>
  <si>
    <t>JUNÇÃO SIMPLES, PVC, SERIE R, ÁGUA PLUVIAL, DN 100 X 100 MM, JUNTA ELÁSTICA, FORNECIDO E INSTALADO EM CONDUTORES VERTICAIS DE ÁGUAS PLUVIAIS. AF_12/2014</t>
  </si>
  <si>
    <t>JUNÇÃO SIMPLES, PVC, SERIE R, ÁGUA PLUVIAL, DN 150 X 100 MM, JUNTA ELÁSTICA, FORNECIDO E INSTALADO EM CONDUTORES VERTICAIS DE ÁGUAS PLUVIAIS. AF_12/2014</t>
  </si>
  <si>
    <t>TORNEIRA METALICA DE BOIA VAZAO TOTAL PARA CAIXA D'AGUA, 3/4", COM HASTE METALICA E BALAO PLASTICO</t>
  </si>
  <si>
    <t>MONTADOR ELETROMECÃNICO COM ENCARGOS COMPLEMENTARES</t>
  </si>
  <si>
    <t>BOMBA CENTRIFUGA,  MOTOR ELETRICO TRIFASICO 1,48HP  DIAMETRO DE SUCCAO X ELEVACAO 1 1/2" X 1", DIAMETRO DO ROTOR 117 MM, HM/Q: 10 M / 21,9 M3/H A 24 M / 6,1 M3/H</t>
  </si>
  <si>
    <t>Conserto da bomba de recalque dágua trifasica até 1,5 HP  (50% do valor da bomba)</t>
  </si>
  <si>
    <t>Luminária de emergência</t>
  </si>
  <si>
    <t>SINAPI.97599</t>
  </si>
  <si>
    <t>SINAPI.93040</t>
  </si>
  <si>
    <t>LAMPADA FLUORESCENTE TUBULAR T5 DE 14 W, BIVOLT</t>
  </si>
  <si>
    <t>REATOR ELETRONICO BIVOLT PARA 2 LAMPADAS FLUORESCENTES DE 36/40 W</t>
  </si>
  <si>
    <t>1.11.1.1.2</t>
  </si>
  <si>
    <t>Luminárias/reatores/lâmpadas</t>
  </si>
  <si>
    <t>SINAPI.83391</t>
  </si>
  <si>
    <t>TOMADA 2P+T 20A, 250V  (APENAS MODULO)</t>
  </si>
  <si>
    <t>Ponto de iluminação e tomada, residencial, incluindo caixa elétrica, eletroduto, cabo, rasgo, quebra e chumbamento (excluindo luminária, lâmpada, tomada e interruptor)</t>
  </si>
  <si>
    <t>RASGO EM ALVENARIA PARA ELETRODUTOS COM DIAMETROS MENORES OU IGUAIS A 40 MM. AF_05/2015</t>
  </si>
  <si>
    <t>QUEBRA EM ALVENARIA PARA INSTALAÇÃO DE CAIXA DE TOMADA (4X4 OU 4X2). AF_05/2015</t>
  </si>
  <si>
    <t>ELETRODUTO FLEXÍVEL CORRUGADO, PVC, DN 20 MM (1/2"), PARA CIRCUITOS TERMINAIS, INSTALADO EM LAJE - FORNECIMENTO E INSTALAÇÃO. AF_12/2015</t>
  </si>
  <si>
    <t>ELETRODUTO FLEXÍVEL CORRUGADO, PVC, DN 20 MM (1/2"), PARA CIRCUITOS TERMINAIS, INSTALADO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</si>
  <si>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</si>
  <si>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</si>
  <si>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CAIXA OCTOGONAL 3" X 3", PVC, INSTALADA EM LAJE - FORNECIMENTO E INSTALAÇÃO. AF_12/2015</t>
  </si>
  <si>
    <t>CAIXA RETANGULAR 4" X 2" MÉDIA (1,30 M DO PISO), PVC, INSTALADA EM PAREDE - FORNECIMENTO E INSTALAÇÃO. AF_12/2015</t>
  </si>
  <si>
    <t>SINAPI.91995+91946+91952</t>
  </si>
  <si>
    <t>Considerado mão de obra de instalação de tomada</t>
  </si>
  <si>
    <t>SINAPI.74130/1</t>
  </si>
  <si>
    <t>Disjuntor termomagnetico tripolar padrao nema (americano) 10 a 50A 240V</t>
  </si>
  <si>
    <t>SINAPI.74130/4</t>
  </si>
  <si>
    <t>DISJUNTOR TIPO NEMA, TRIPOLAR 10  ATE  50A, TENSAO MAXIMA DE 415 V</t>
  </si>
  <si>
    <t>SINAPI. 74130/1</t>
  </si>
  <si>
    <t>SINAPI. 74130/4</t>
  </si>
  <si>
    <t>Disjuntor termomagnetico monopolar padrao nema (americano) 10 a 30A 240V</t>
  </si>
  <si>
    <t>2.4.7.1</t>
  </si>
  <si>
    <t>2.4.7.2</t>
  </si>
  <si>
    <t>2.4.8.1</t>
  </si>
  <si>
    <t>2.4.8.3</t>
  </si>
  <si>
    <t>2.4.9.1</t>
  </si>
  <si>
    <t>2.5.2</t>
  </si>
  <si>
    <t>2.5.3</t>
  </si>
  <si>
    <t>2.5.6</t>
  </si>
  <si>
    <t>2.5.6.2</t>
  </si>
  <si>
    <t>2.5.6.3</t>
  </si>
  <si>
    <t>2.5.7</t>
  </si>
  <si>
    <t>2.5.7.1</t>
  </si>
  <si>
    <t>2.5.7.2</t>
  </si>
  <si>
    <t>2.5.7.3</t>
  </si>
  <si>
    <t>serv</t>
  </si>
  <si>
    <t>Instalações Eletricas/Telefone/SPDA/Rede Estruturada/PABX</t>
  </si>
  <si>
    <t>1.11.4</t>
  </si>
  <si>
    <t>Central de PABX</t>
  </si>
  <si>
    <t>1.11.4.1</t>
  </si>
  <si>
    <t>1.11.2.1</t>
  </si>
  <si>
    <t>SUPORTE ISOLADOR PARA CORDOALHA DE COBRE - FORNECIMENTO E INSTALAÇÃO. AF_12/2017</t>
  </si>
  <si>
    <t xml:space="preserve">CUSTOS UNITÁRIOS REF: JAN/2018 (R$) </t>
  </si>
  <si>
    <t>Piso em concreto moldado in loco</t>
  </si>
  <si>
    <t>Preço Unitário (R$)</t>
  </si>
  <si>
    <t>Fornecedor</t>
  </si>
  <si>
    <t>Telefone:</t>
  </si>
  <si>
    <t>Contato:</t>
  </si>
  <si>
    <t>Email:</t>
  </si>
  <si>
    <t>COT-1</t>
  </si>
  <si>
    <t>SINAPI.97064</t>
  </si>
  <si>
    <t>COT - PESQUISA DE MERCADO</t>
  </si>
  <si>
    <t>Quant.</t>
  </si>
  <si>
    <t>Unid.</t>
  </si>
  <si>
    <t xml:space="preserve">Valor Unitário </t>
  </si>
  <si>
    <t>Composições de Custos Unitários</t>
  </si>
  <si>
    <t xml:space="preserve">Furos em elementos estruturais </t>
  </si>
  <si>
    <t>COT-2</t>
  </si>
  <si>
    <t>COT-3</t>
  </si>
  <si>
    <t>COT-4</t>
  </si>
  <si>
    <t>COT-5</t>
  </si>
  <si>
    <t>CASA GLOBAL</t>
  </si>
  <si>
    <t>(49)32451900</t>
  </si>
  <si>
    <t>Fabiano</t>
  </si>
  <si>
    <t>nfe@casaglobal.com.br</t>
  </si>
  <si>
    <t>KINTA HOME</t>
  </si>
  <si>
    <t>(41)30747255</t>
  </si>
  <si>
    <t>PEDRAMAR</t>
  </si>
  <si>
    <t>SC MARMORES</t>
  </si>
  <si>
    <t>MARMORARIA OLIVEIRA</t>
  </si>
  <si>
    <t>(48)32262424</t>
  </si>
  <si>
    <t>(48)33692112</t>
  </si>
  <si>
    <t>(48)32571223</t>
  </si>
  <si>
    <t>Heitor</t>
  </si>
  <si>
    <t>Michela</t>
  </si>
  <si>
    <t>Caio</t>
  </si>
  <si>
    <t>cleonicemarmorariapedramar@hotmail.com</t>
  </si>
  <si>
    <t>vendas1@scmarmores.com.br</t>
  </si>
  <si>
    <t>contato@marmorariaoliveira.com.br</t>
  </si>
  <si>
    <t>CARPETE COMERCIAL EM ROLO BEAULIEU LINHA ASTRAL ANTRON COR REF.665 PÉGASUS</t>
  </si>
  <si>
    <t>NOBRE</t>
  </si>
  <si>
    <t>ULTRAPISO</t>
  </si>
  <si>
    <t>(48)30471015</t>
  </si>
  <si>
    <t>(48)32242423</t>
  </si>
  <si>
    <t>Rose</t>
  </si>
  <si>
    <t>Elisandra</t>
  </si>
  <si>
    <t>rose@nobrecomercio.com.br</t>
  </si>
  <si>
    <t>lojariobranco@ultrapiso.com.br</t>
  </si>
  <si>
    <t>SAPATA REGULÁVEL</t>
  </si>
  <si>
    <t>PLATAFORMA METÁLICA PARA ANDAIME</t>
  </si>
  <si>
    <t>FRETE</t>
  </si>
  <si>
    <t>VIAGEM</t>
  </si>
  <si>
    <t>(48) 32696537</t>
  </si>
  <si>
    <t>VIVOEQUIP</t>
  </si>
  <si>
    <t>Locação até 15 dias de andaime tubular tipo torre, incluso transporte horizontal, montagem e desmontagem</t>
  </si>
  <si>
    <t>vivoequip@vivoequip.com.br</t>
  </si>
  <si>
    <t>CONTRATO 71/2013(ESUC TCU) - 27.3.4</t>
  </si>
  <si>
    <t>APPEX</t>
  </si>
  <si>
    <t>(48)999955111</t>
  </si>
  <si>
    <t>junior@appex.com.br</t>
  </si>
  <si>
    <t xml:space="preserve">                         TRIBUNAL DE CONTAS DA UNIÃO                                                                                                                                         </t>
  </si>
  <si>
    <t xml:space="preserve">                          Secretaria de Engenharia</t>
  </si>
  <si>
    <t>Mapa de Cotação</t>
  </si>
  <si>
    <t>PORCELANATO BIANCO TU 60X60CM POLIDO - PORTOBELLO</t>
  </si>
  <si>
    <t>(55) 30265000</t>
  </si>
  <si>
    <t>Vladimir</t>
  </si>
  <si>
    <t>vladimir@walterbeltrame.com.br</t>
  </si>
  <si>
    <t>WALTER BELTRAME</t>
  </si>
  <si>
    <t>COT-7</t>
  </si>
  <si>
    <t>SITE</t>
  </si>
  <si>
    <t>COT-8</t>
  </si>
  <si>
    <t>COT-9</t>
  </si>
  <si>
    <t>COT-11</t>
  </si>
  <si>
    <t>COT-12</t>
  </si>
  <si>
    <t>COT-16</t>
  </si>
  <si>
    <t>COT-17</t>
  </si>
  <si>
    <t>COT-23</t>
  </si>
  <si>
    <t>TOTAL POR METRO</t>
  </si>
  <si>
    <t>CIA DO ANDAIME</t>
  </si>
  <si>
    <t>(48) 33487045</t>
  </si>
  <si>
    <t>ciadoandaime@hotmail.com</t>
  </si>
  <si>
    <t>PODIUM ANDAIMES</t>
  </si>
  <si>
    <t>comercial@podiumandaimes.com.br</t>
  </si>
  <si>
    <t>(48)32858846</t>
  </si>
  <si>
    <t>Jessica</t>
  </si>
  <si>
    <t>Leonardo</t>
  </si>
  <si>
    <t>Ana</t>
  </si>
  <si>
    <t>FURO EM CONCRETO COM COROAS DIAMANTADAS, UTILIZANDO PERFURATRIZ ELÉTRICA DIAM.100MM  PROFUNDIDADE 40 CM</t>
  </si>
  <si>
    <t>CASSOL</t>
  </si>
  <si>
    <t>https://www.cassol.com.br</t>
  </si>
  <si>
    <t>http://www.cec.com.br</t>
  </si>
  <si>
    <t>https://www.leroymerlin.com.br/</t>
  </si>
  <si>
    <t>PAINEL CEGO DE DIVISÓRIA ACUSTICA COM MIOLO ACUSTICO EM LA DE ROCHA 40KG/M³</t>
  </si>
  <si>
    <t>EDITAL PARA LICITAÇÃO DIVISORIAS SC CONTRATO 1/2012 SECEX-SC</t>
  </si>
  <si>
    <t>DATA BASE NOV/11</t>
  </si>
  <si>
    <t>5º TERMO DE APOSTILAMENTO AO CONTRATO 31/2013 - DIVIFORMA</t>
  </si>
  <si>
    <t>SINAPI.10496</t>
  </si>
  <si>
    <t>SINAPI. INSUMO 10496</t>
  </si>
  <si>
    <t>CONTRATO MANUTENÇÃO MINISTERIO DO PLANEJAMENT0</t>
  </si>
  <si>
    <t>DATA BASE AGO/16</t>
  </si>
  <si>
    <t>MONTAGEM DE MÓDULO PORTA</t>
  </si>
  <si>
    <t>INSTALAÇÃO DE CARPETE</t>
  </si>
  <si>
    <t>ITENS 10.35/ 1.2/1.5/11.8</t>
  </si>
  <si>
    <t>DIVIFORMA</t>
  </si>
  <si>
    <t>CONTRATO MANUTENÇÃO TCU</t>
  </si>
  <si>
    <t>ITENS 1.19/ 1.1/1.9/1.14</t>
  </si>
  <si>
    <t>ITENS 15/1/7/33</t>
  </si>
  <si>
    <t>Ivonete</t>
  </si>
  <si>
    <t>Junior</t>
  </si>
  <si>
    <t>40% (Preço médio do material)</t>
  </si>
  <si>
    <t xml:space="preserve">VIDRO COMUM LAMINADO, LISO, INCOLOR, DUPLO, ESPESSURA TOTAL 6 MM (CADA CAMADA E= 3 MM) </t>
  </si>
  <si>
    <t>INSTALAÇÃO DE VIDRO LAMINADO</t>
  </si>
  <si>
    <t>Substituição de vedações das esquadrias existentes com silicone estrutural</t>
  </si>
  <si>
    <t>TJSC - PREGÃO 81/2017</t>
  </si>
  <si>
    <t>SELANTE DE SILICONE DOW CORNING ESTRUTURAL  995 - 300ML</t>
  </si>
  <si>
    <t>Tarjeta livre/ocupado em latão</t>
  </si>
  <si>
    <t>MOLA AEREA FECHA PORTA, PARA PORTAS COM LARGURA ACIMA DE 110 CM</t>
  </si>
  <si>
    <t>SABONETEIRA PLASTICA TIPO DISPENSER PARA SABONETE LIQUIDO COM RESERVATORIO 800 A 1500 ML</t>
  </si>
  <si>
    <t>PAPELEIRA PLASTICA TIPO DISPENSER PARA PAPEL HIGIENICO ROLAO</t>
  </si>
  <si>
    <t>Substituição de espelho cristal 4mm, incluso fixação, sem moldura</t>
  </si>
  <si>
    <t xml:space="preserve">Substiuição de resistencia para chuveiro elétrico </t>
  </si>
  <si>
    <t>cyntia@kinta.com.br</t>
  </si>
  <si>
    <t>REATOR ELETRONICO BIVOLT PARA 2 LAMPADAS FLUORESCENTES DE 14 W</t>
  </si>
  <si>
    <t>REATOR P/ LAMPADA VAPOR DE SODIO 250W USO EXT</t>
  </si>
  <si>
    <t>1.11.1.1.3</t>
  </si>
  <si>
    <t>1.11.1.1.4</t>
  </si>
  <si>
    <t>1.11.1.1.5</t>
  </si>
  <si>
    <t>1.11.1.1.6</t>
  </si>
  <si>
    <t>1.11.1.1.7</t>
  </si>
  <si>
    <t>1.11.1.1.8</t>
  </si>
  <si>
    <t>1.11.1.1.9</t>
  </si>
  <si>
    <t>Lampada Fluorescente até 40W, incl. T5/T8/T10</t>
  </si>
  <si>
    <t>LAMPADA FLUORESCENTE TUBULAR T10, DE 20 OU 40 W, BIVOLT</t>
  </si>
  <si>
    <t>LAMPADA FLUORESCENTE TUBULAR T8 DE 16/18 W, BIVOLT</t>
  </si>
  <si>
    <t>LAMPADA FLUORESCENTE TUBULAR T8 DE 32/36 W, BIVOLT</t>
  </si>
  <si>
    <t>LAMPADA FLUORESCENTE COMPACTA 2U BRANCA 15 W, BASE E27 (127/220 V)</t>
  </si>
  <si>
    <t>LAMPADA FLUORESCENTE COMPACTA 2U/3U BRANCA 9/10 W, BASE E27 (127/220 V)</t>
  </si>
  <si>
    <t>LAMPADA FLUORESCENTE COMPACTA 3U BRANCA 20 W, BASE E27 (127/220 V)</t>
  </si>
  <si>
    <t>Lampada Fluorescente Compacta até 20W - Base E27</t>
  </si>
  <si>
    <t>Lampada Fluorescente Espiral Branca até 65W - Base E27</t>
  </si>
  <si>
    <t>LAMPADA FLUORESCENTE ESPIRAL BRANCA 45 W, BASE E27 (127/220 V)</t>
  </si>
  <si>
    <t>LAMPADA FLUORESCENTE ESPIRAL BRANCA 65 W, BASE E27 (127/220 V)</t>
  </si>
  <si>
    <t>LAMPADA LED TUBULAR BIVOLT 9/10 W, BASE G13</t>
  </si>
  <si>
    <t>LAMPADA LED TUBULAR BIVOLT 18/20 W, BASE G13</t>
  </si>
  <si>
    <t>Lampada Led Tubular até 20W - Base G13</t>
  </si>
  <si>
    <t>LAMPADA LED 10 W BIVOLT BRANCA, FORMATO TRADICIONAL (BASE E27)</t>
  </si>
  <si>
    <t>LAMPADA LED 6 W BIVOLT BRANCA, FORMATO TRADICIONAL (BASE E27)</t>
  </si>
  <si>
    <t>Lampada Led  Formato Tradicional até 10W - Base E27</t>
  </si>
  <si>
    <t>Lampada Vapor de Sódio/Mercurio/Metálico até 400W - Base E27/E40</t>
  </si>
  <si>
    <t>LAMPADA VAPOR DE SODIO OVOIDE 150 W (BASE E40)</t>
  </si>
  <si>
    <t>LAMPADA VAPOR DE SODIO OVOIDE 400 W (BASE E40)</t>
  </si>
  <si>
    <t>LAMPADA VAPOR MERCURIO 125 W (BASE E27)</t>
  </si>
  <si>
    <t>LAMPADA VAPOR MERCURIO 250 W (BASE E40)</t>
  </si>
  <si>
    <t>LAMPADA VAPOR MERCURIO 400 W (BASE E40)</t>
  </si>
  <si>
    <t>LAMPADA VAPOR METALICO OVOIDE 150 W, BASE E27/E40</t>
  </si>
  <si>
    <t>LAMPADA VAPOR METALICO TUBULAR 400 W (BASE E40)</t>
  </si>
  <si>
    <t xml:space="preserve">LAMPADA VAPOR DE SODIO OVOIDE 250 W (BASE E40) </t>
  </si>
  <si>
    <t>Reator Eletronico Bivolt para 1 Lampada Fluorescente de até 40 W</t>
  </si>
  <si>
    <t>REATOR ELETRONICO BIVOLT PARA 1 LAMPADA FLUORESCENTE DE 18/20 W</t>
  </si>
  <si>
    <t>REATOR ELETRONICO BIVOLT PARA 1 LAMPADA FLUORESCENTE DE 36/40 W</t>
  </si>
  <si>
    <t>Reator Eletronico Bivolt para 2 Lampadas Fluorescentes de até 40 W</t>
  </si>
  <si>
    <t>REATOR ELETRONICO BIVOLT PARA 2 LAMPADAS FLUORESCENTES DE 18/20 W</t>
  </si>
  <si>
    <t>Reator para 1 Lampada Vapor de Sódio/Mercurio/Metálico até 400W - Uso Externo</t>
  </si>
  <si>
    <t>REATOR INTERNO/INTEGRADO PARA LAMPADA VAPOR METALICO 400 W, ALTO FATOR DE POTENCIA</t>
  </si>
  <si>
    <t>REATOR P/ 1 LAMPADA VAPOR DE MERCURIO 125W USO EXT</t>
  </si>
  <si>
    <t>REATOR P/ 1 LAMPADA VAPOR DE MERCURIO 250W USO EXT</t>
  </si>
  <si>
    <t>REATOR P/ 1 LAMPADA VAPOR DE MERCURIO 400W USO EXT</t>
  </si>
  <si>
    <t>SINAPI.83470</t>
  </si>
  <si>
    <t>SINAPI.93044</t>
  </si>
  <si>
    <t>SINAPI.93043</t>
  </si>
  <si>
    <t>SINAPI.97613</t>
  </si>
  <si>
    <t>SINAPI.93041</t>
  </si>
  <si>
    <t>SINAPI.83393</t>
  </si>
  <si>
    <t>SINAPI.72281</t>
  </si>
  <si>
    <t>Tomada 2P + T  20A/Interruptor Simples</t>
  </si>
  <si>
    <t>Considerado 50% de troca de tomada e 50% de interruptor</t>
  </si>
  <si>
    <t>1.11.2.2</t>
  </si>
  <si>
    <t>Captor tipo Franklin para SPDA</t>
  </si>
  <si>
    <t>PARA-RAIOS TIPO FRANKLIN 350 MM, EM LATAO CROMADO, DUAS DESCIDAS, PARA PROTECAO DE EDIFICACOES CONTRA DESCARGAS ATMOSFERICAS</t>
  </si>
  <si>
    <t>SINAPI.96989</t>
  </si>
  <si>
    <t>SINAPI. 96989</t>
  </si>
  <si>
    <t>Tomada RJ-45</t>
  </si>
  <si>
    <t>TOMADA RJ45, 8 FIOS, CAT 5E, CONJUNTO MONTADO PARA EMBUTIR 4" X 2" (PLACA +SUPORTE + MODULO)</t>
  </si>
  <si>
    <t>1.11.3.1</t>
  </si>
  <si>
    <t>Patch cord, Categoria 6, extensão de 2,5m, somente fornecimento</t>
  </si>
  <si>
    <t>1.11.3.2</t>
  </si>
  <si>
    <t>1.11.3.3</t>
  </si>
  <si>
    <t>Patch cord, Categoria 6, extensão de 10m, somente fornecimento</t>
  </si>
  <si>
    <t>PATCH CORD, CATEGORIA 6, EXTENSAO DE 2,50 M</t>
  </si>
  <si>
    <t>PATCH CORD, CATEGORIA 6, EXTENSAO DE 10,00 M</t>
  </si>
  <si>
    <t>SINAPI. 72337</t>
  </si>
  <si>
    <t>SINAPI.39607</t>
  </si>
  <si>
    <t>ORGANIZADOR DE CABOS HORIZONTAL, ABERTO, PADRÃO RACK 19"</t>
  </si>
  <si>
    <t>Organizador de cabos, somente fornecimento</t>
  </si>
  <si>
    <t>Manutenção Corretiva</t>
  </si>
  <si>
    <t>Considerado transporte de ate 30km</t>
  </si>
  <si>
    <t>Reparo/Reforço Estrutural</t>
  </si>
  <si>
    <t>Substituição de rodapé em madeira, altura 7cm, fixado com cola</t>
  </si>
  <si>
    <t>Vidro laminado incolor 6mm ( 3+3mm)</t>
  </si>
  <si>
    <t>Remanejamento de forro modular metalico perfurado, sem fornecimento</t>
  </si>
  <si>
    <t>SINAPI.76448/2</t>
  </si>
  <si>
    <t>TELA DE ACO SOLDADA GALVANIZADA/ZINCADA PARA ALVENARIA, FIO  D = *1,24 MM, MALHA 25 X 25 MM</t>
  </si>
  <si>
    <t>Composição com coeficientes x2, por ser até 10cm, exceto fita crepe</t>
  </si>
  <si>
    <t>Substituido a tinta acrilica pela epoxi, da comp.</t>
  </si>
  <si>
    <t>Substituição de cumeeira de fibrocimento esp.6mm,  incluso acessórios de fixação e içamento</t>
  </si>
  <si>
    <t>SINAPI. 97633+87262</t>
  </si>
  <si>
    <t>SINAPI. 97633+87250</t>
  </si>
  <si>
    <t>SINAPI. 97633+72138</t>
  </si>
  <si>
    <t>SINAPI. 97632+74111/1</t>
  </si>
  <si>
    <t>SINAPI.97632+84162</t>
  </si>
  <si>
    <t>SINAPI. 97633+87272</t>
  </si>
  <si>
    <t>SINAPI. 97640 +72201</t>
  </si>
  <si>
    <t>SINAPI.97649+94210</t>
  </si>
  <si>
    <t>SINAPI.97649+94223</t>
  </si>
  <si>
    <t>Considerado 20% da mão de obra de retirada de telha da composição  97649</t>
  </si>
  <si>
    <t>Considerado 20% de guindaste de retirada de telha da composição  97649</t>
  </si>
  <si>
    <t>1.1.5.1</t>
  </si>
  <si>
    <t>1.1.5.1.1</t>
  </si>
  <si>
    <t>SINAPI.72192 para mão de obra</t>
  </si>
  <si>
    <t>INSTALAÇÃO DE PERSIANA DE ALUMINIO 16MM</t>
  </si>
  <si>
    <t>Painel cego de divisória acustica</t>
  </si>
  <si>
    <t xml:space="preserve">Alvenaria de vedação de blocos cerâmicos furados 9x19x19cm </t>
  </si>
  <si>
    <t>INSTALAÇÃO DE DIVISÓRIA ACUSTICA</t>
  </si>
  <si>
    <t>INSTALAÇÃO DE PERSIANA TIPO ROLÔ/BLACKOUT</t>
  </si>
  <si>
    <t xml:space="preserve">Substituição de porta acustica revestida em laminado melaminico </t>
  </si>
  <si>
    <t>MÓDULO PORTA CEGA ACUSTICA</t>
  </si>
  <si>
    <t>Máquinas/Equipamentos</t>
  </si>
  <si>
    <t>SINAPI.97663+86888</t>
  </si>
  <si>
    <t>PERFIL CANALETA, FORMATO C, EM ACO ZINCADO, PARA ESTRUTURA FORRO DRYWALL, E = 0,5 MM, *46 X 18* (L X H), COMPRIMENTO 3 M</t>
  </si>
  <si>
    <t>PARAFUSO ZINCADO, AUTOBROCANTE, FLANGEADO, 4,2 X 19"</t>
  </si>
  <si>
    <t xml:space="preserve"> SINAPI.96114 </t>
  </si>
  <si>
    <t>Substituição de válvula de descarga 1.1/2" com registro, acabamento em metal cromado</t>
  </si>
  <si>
    <t>Substituição de ducha higiênica</t>
  </si>
  <si>
    <t>Considerado meia hora para substituição</t>
  </si>
  <si>
    <t>Substituição de saboneteira plastica tipo dispenser para sabonete liquido com reservatório/ Toalheiro plastico tipo dispenser para papel toalha interfolhado/ Papeleira plastica tipo dispenser para papel higienico rolão</t>
  </si>
  <si>
    <t>Substituição de carrapeta de torneira</t>
  </si>
  <si>
    <t>Considerado 45 min para substituição</t>
  </si>
  <si>
    <t>Substituição de reparo da caixa acoplada deca</t>
  </si>
  <si>
    <t>SINAPI.97663+86903</t>
  </si>
  <si>
    <t>SINAPI.97666+86906, PARA MÃO DE OBRA</t>
  </si>
  <si>
    <t>FIXAÇÃO UTILIZANDO PARAFUSO E BUCHA DE NYLON, SOMENTE MÃO DE OBRA. AF_10/2016</t>
  </si>
  <si>
    <t>SINAPI.97666+95541</t>
  </si>
  <si>
    <t>Considerado 15 min substituição</t>
  </si>
  <si>
    <t>SINAPI.97666+40729</t>
  </si>
  <si>
    <t>SINAPI. 97666 +86906</t>
  </si>
  <si>
    <t>SINAPI. 97666 +86910</t>
  </si>
  <si>
    <t xml:space="preserve"> SINAPI.97660+ 9535</t>
  </si>
  <si>
    <t>1.3.2.1.1.1</t>
  </si>
  <si>
    <t>Aplicação e lixamento de massa acrilica, uma demão</t>
  </si>
  <si>
    <t>SINAPI.96129</t>
  </si>
  <si>
    <t>MASSA ACRILICA PARA PAREDES INTERIOR/EXTERIOR</t>
  </si>
  <si>
    <t>GL</t>
  </si>
  <si>
    <t>Pintura acrílica, duas demãos</t>
  </si>
  <si>
    <t>SEINFRA.C1631</t>
  </si>
  <si>
    <t>Carga e descarga de entulho com saco de 50l, com distância até 30km, incluso transporte vertical/horizontal</t>
  </si>
  <si>
    <t>Reparo/reforço estrutural com groute</t>
  </si>
  <si>
    <t>ESCADA  2M</t>
  </si>
  <si>
    <t>PEÇAS</t>
  </si>
  <si>
    <t>LOCACAO QUINZENAL DE ANDAIME METALICO TUBULAR DE ENCAIXE, TIPO DE TORRE, COM LARGURA DE 1 ATE 1,5 M E ALTURA DE 1,00 M, INCLUSO DIAGIONAIS E TRAVESSAS</t>
  </si>
  <si>
    <t>CHUMBADOR DE ACO, DIAMETRO 1/2", COMPRIMENTO 75 MM</t>
  </si>
  <si>
    <t>ESTICADOR FORJADO PARA CABO DE ACO DE DIAMETRO 12,7 MM (1/2"), TIPO GANCHO X OLHAL (DIN 1480) (COLETADO CAIXA)</t>
  </si>
  <si>
    <t>CABO DE ACO GALVANIZADO, DIAMETRO 12,7 MM (1/2"), COM ALMA DE FIBRA 6 X 25 F (COLETADO CAIXA)</t>
  </si>
  <si>
    <t>8 unid. para 12m</t>
  </si>
  <si>
    <t>0,63kg/m</t>
  </si>
  <si>
    <t xml:space="preserve">PERSIANA TIPO ROLO COM BLACKOUT MODELO MOROCCO LUXAFLEX </t>
  </si>
  <si>
    <t>VALENTINA DECOR</t>
  </si>
  <si>
    <t>(48) 32383611</t>
  </si>
  <si>
    <t>Gilmar</t>
  </si>
  <si>
    <t>contato@valentinadecor.com.br</t>
  </si>
  <si>
    <t xml:space="preserve">QUALISIL </t>
  </si>
  <si>
    <t>(11) 35089988</t>
  </si>
  <si>
    <t>mislene.nascimento@daybrasil.com.br</t>
  </si>
  <si>
    <t>DAY BRASIL</t>
  </si>
  <si>
    <t>Mislene</t>
  </si>
  <si>
    <t>(11) 36137595</t>
  </si>
  <si>
    <t>1.2.2.4.2.4</t>
  </si>
  <si>
    <t>SINAPI.83738</t>
  </si>
  <si>
    <t>Impermeabilização com manta asfaltica 4mm</t>
  </si>
  <si>
    <t>Impermeabilização de superficies com argamassa polimerica e resina termoplastica</t>
  </si>
  <si>
    <t>Vedação com mastique elastico a base de poliuretano, para juntas de 2x2cm</t>
  </si>
  <si>
    <t>1 m de junta corresponde a 0,4dm³ (0,2*0,2*10dm)</t>
  </si>
  <si>
    <t>50% FRETE</t>
  </si>
  <si>
    <t>SINAPI.96975</t>
  </si>
  <si>
    <t>SINAPI. 96975</t>
  </si>
  <si>
    <t>CABO DE COBRE NU 70 MM2 MEIO-DURO</t>
  </si>
  <si>
    <t>DISTRISUL</t>
  </si>
  <si>
    <t>orcamento@distrisulsc.com.br</t>
  </si>
  <si>
    <t>Tânio</t>
  </si>
  <si>
    <t>(49)332370175</t>
  </si>
  <si>
    <t>CABO PARA TELEFONIA ESPIRAL 1,80M</t>
  </si>
  <si>
    <t>Cabo para telefonia espiral 1,80m, somente fornecimento</t>
  </si>
  <si>
    <t>MAT:</t>
  </si>
  <si>
    <t>MULTIPEÇASTEC</t>
  </si>
  <si>
    <t>(41)33229571</t>
  </si>
  <si>
    <t>IGOR</t>
  </si>
  <si>
    <t xml:space="preserve">Cortina tipo rolô com Blackout/Tela Solar </t>
  </si>
  <si>
    <t xml:space="preserve">PERSIANA TIPO ROLO TIPO TELA SOLAR PANAMA 5 LUXAFLEX </t>
  </si>
  <si>
    <t>Substituição de reparo da  valvula de descarga deca</t>
  </si>
  <si>
    <t>REPARO DA VALVULA DE DESCARGA DECA</t>
  </si>
  <si>
    <t>(48)33643206</t>
  </si>
  <si>
    <t>ILHA SUPORTES</t>
  </si>
  <si>
    <t>http://www.ilhasuportes.com.br</t>
  </si>
  <si>
    <t>Ponto de consumo de água fria, com tubulação PVC 25mm, incluso rasgo e chumbamento em alvenaria</t>
  </si>
  <si>
    <t>um</t>
  </si>
  <si>
    <t>SINAPI.89957</t>
  </si>
  <si>
    <t>TARJETA TIPO LIVRE / OCUPADO, CROMADA, PARA PORTA DE BANHEIRO</t>
  </si>
  <si>
    <t>Catalogo de composições adotado SINAPI, Jan/2018</t>
  </si>
  <si>
    <t>FECHADURA C/ CILINDRO LATAO CROMADO P/ PORTA VIDRO TP AROUCA 2171-L OU EQUIV</t>
  </si>
  <si>
    <t>FECHADURA DE EMBUTIR PARA PORTA EXTERNA / ENTRADA, MAQUINA 55 MM, COM CILINDRO, MACANETA ALAVANCA E ESPELHO EM METAL CROMADO - NIVEL SEGURANCA
MEDIO - COMPLETA</t>
  </si>
  <si>
    <t xml:space="preserve">Fechadura para porta de divisória </t>
  </si>
  <si>
    <t>DOBRADICA EM LATAO, 3 " X 2 1/2 ", E= 1,9 A 2 MM, COM ANEL, CROMADO, TAMPA BOLA, COM PARAFUSOS</t>
  </si>
  <si>
    <t>LAVATORIO LOUCA BRANCA COM COLUNA *54 X 44* CM</t>
  </si>
  <si>
    <t>ASSENTO SANITARIO DE PLASTICO, TIPO CONVENCIONAL</t>
  </si>
  <si>
    <t>COMP. PROPRIA</t>
  </si>
  <si>
    <t>TORNEIRA CROMADA DE MESA PARA LAVATORIO TEMPORIZADA PRESSAO BICA BAIXA</t>
  </si>
  <si>
    <t>TORNEIRA ELETRICA DE PAREDE, BICA ALTA, PARA COZINHA, 5500 W (110/220 V)</t>
  </si>
  <si>
    <t xml:space="preserve">VEDANTE DE BORRACHA PARA TORNEIRA </t>
  </si>
  <si>
    <t>LEROY MERLIN</t>
  </si>
  <si>
    <t>https://www.leroymerlin.com.br</t>
  </si>
  <si>
    <t>http://www.ferragemigor.com.br</t>
  </si>
  <si>
    <t>CeC</t>
  </si>
  <si>
    <t xml:space="preserve">KIT UNIVERSAL DE REPARO DA CAIXA ACOPLADA </t>
  </si>
  <si>
    <t>TELHANORTE</t>
  </si>
  <si>
    <t>GRELHA INOX 150MM ABRE FECHA</t>
  </si>
  <si>
    <t xml:space="preserve">ELETRONICA SANTANA </t>
  </si>
  <si>
    <t>(11)28237066</t>
  </si>
  <si>
    <t>http://www.eletronicasantana.com.br</t>
  </si>
  <si>
    <t>ATERA INFORMATICA</t>
  </si>
  <si>
    <t>(11) 22722255</t>
  </si>
  <si>
    <t>https://www.atera.com.br</t>
  </si>
  <si>
    <t>ELETROINFO CIA</t>
  </si>
  <si>
    <t>https://www.eletroinfocia.com.br</t>
  </si>
  <si>
    <t>(67)40627202</t>
  </si>
  <si>
    <t>http://www.multipecastec.com.br</t>
  </si>
  <si>
    <t>1.13</t>
  </si>
  <si>
    <t>Deslocamento/Visita técnica</t>
  </si>
  <si>
    <t>GASOLINA COMUM</t>
  </si>
  <si>
    <t>1.13.1</t>
  </si>
  <si>
    <t>Deslocamento minimo para serviços eventuais</t>
  </si>
  <si>
    <t xml:space="preserve">Cordoalha de cobre nu 70 mm², não enterrada, com isolador </t>
  </si>
  <si>
    <t xml:space="preserve"> MAT:</t>
  </si>
  <si>
    <t>% SOBRE A MÃO DE OBRA</t>
  </si>
  <si>
    <t>%</t>
  </si>
  <si>
    <t>MANUTENÇÃO PREVENTIVA</t>
  </si>
  <si>
    <t>ENGENHEIRO  PLENO COM ENCARGOS COMPLEMENTARES</t>
  </si>
  <si>
    <t>ART - ANOTAÇÃO DE RESPONSABILIDADE TÉCNICA</t>
  </si>
  <si>
    <t>TAXA</t>
  </si>
  <si>
    <t>CREA-SC</t>
  </si>
  <si>
    <t>2.2.6.1</t>
  </si>
  <si>
    <t xml:space="preserve">Verificação de vazamentos e demais condições das instalações de GLP </t>
  </si>
  <si>
    <t>Teste das bombas de incêndio/verificação de válvulas fechadas</t>
  </si>
  <si>
    <t>Verificação da iluminação emergência, caixas de incêndio e prazo de validade dos extintores</t>
  </si>
  <si>
    <t>CASA DO MARCENEIRO</t>
  </si>
  <si>
    <t>(41)33302404</t>
  </si>
  <si>
    <t>GASÔMETRO</t>
  </si>
  <si>
    <t>(12)39320425</t>
  </si>
  <si>
    <t>https://www.madeirasgasometro.com.br</t>
  </si>
  <si>
    <t>https://www.casamarceneiro.com.br/</t>
  </si>
  <si>
    <t>FERRAGENS PARA ARMÁRIO - CORREDIÇAS</t>
  </si>
  <si>
    <t>FERRAGENS PARA ARMÁRIO - DOBRADIÇAS</t>
  </si>
  <si>
    <t>FERRAGENS PARA ARMÁRIO - CANTONEIRAS</t>
  </si>
  <si>
    <t>FERRAGENS PARA ARMÁRIO - PUXADOR</t>
  </si>
  <si>
    <t>COT-24</t>
  </si>
  <si>
    <t>COT-25</t>
  </si>
  <si>
    <t>COT-26</t>
  </si>
  <si>
    <t>COT-27</t>
  </si>
  <si>
    <t>ALLUWEB</t>
  </si>
  <si>
    <t>Frete 20%</t>
  </si>
  <si>
    <t xml:space="preserve">FECHO PARA JANELA DE ALUMINIO MAXIM AR </t>
  </si>
  <si>
    <t>https://www.alluweb.com.br</t>
  </si>
  <si>
    <t>FERRAGENS PARA ARMÁRIO - PISTÃO A GÁS</t>
  </si>
  <si>
    <t>BDI - BENEFICIOS E DESPESAS INDIRETAS</t>
  </si>
  <si>
    <t>2.5.3.1</t>
  </si>
  <si>
    <t>1.11.3.4</t>
  </si>
  <si>
    <t>Inspeção visual de elementos metálicos (estrutura, tubulações, etc) - prevenção de corrosão</t>
  </si>
  <si>
    <t>Limpeza de calhas da cobertura</t>
  </si>
  <si>
    <t>Verificação de vazamento da chave boia do reservatório de água, de redes enterradas e de pontos de consumo</t>
  </si>
  <si>
    <t>MATERIAL DE LIMPEZA</t>
  </si>
  <si>
    <t>RECARGA DE EXTINTOR CO2 6KG</t>
  </si>
  <si>
    <t>RECARGA DE EXTINTOR ÁGUA PRESSURIZADA10L</t>
  </si>
  <si>
    <t>carol@qualisil.com.br</t>
  </si>
  <si>
    <t>CAROL</t>
  </si>
  <si>
    <t>GUAREZI</t>
  </si>
  <si>
    <t>(48)33814700</t>
  </si>
  <si>
    <t>(48)32445390</t>
  </si>
  <si>
    <t>Teste do sistema de incêndio</t>
  </si>
  <si>
    <t>orcamento@guarezi.com.br</t>
  </si>
  <si>
    <t>Antônio</t>
  </si>
  <si>
    <t>Impermeabilização</t>
  </si>
  <si>
    <t>Inspeção no sistema de impermeabilização</t>
  </si>
  <si>
    <t>2.5.2.1</t>
  </si>
  <si>
    <t>COT- 10</t>
  </si>
  <si>
    <t>COT-19</t>
  </si>
  <si>
    <t>COT-20</t>
  </si>
  <si>
    <t>COT-21</t>
  </si>
  <si>
    <t>COT-22</t>
  </si>
  <si>
    <t>COT- 34</t>
  </si>
  <si>
    <t>EXTINCENDIO</t>
  </si>
  <si>
    <t>Jair</t>
  </si>
  <si>
    <t>http://www.telhanorte.com.br/</t>
  </si>
  <si>
    <t>Alessandra</t>
  </si>
  <si>
    <t>SYSTEL</t>
  </si>
  <si>
    <t>(48) 30353101</t>
  </si>
  <si>
    <t>Paulo</t>
  </si>
  <si>
    <t>systel@systel.com.br</t>
  </si>
  <si>
    <t>BACIA SANITARIA (VASO) COM CAIXA ACOPLADA, DE LOUCA BRANCA</t>
  </si>
  <si>
    <t xml:space="preserve">Planilha Orçamentária </t>
  </si>
  <si>
    <t>Data Base:</t>
  </si>
  <si>
    <t xml:space="preserve">TOTAL MANUTENÇÃO CORRETIVA </t>
  </si>
  <si>
    <t>TOTAL MANUTENÇÃO PREVENTIVA</t>
  </si>
  <si>
    <t xml:space="preserve"> CUSTO TOTAL</t>
  </si>
  <si>
    <t>PREÇO TOTAL</t>
  </si>
  <si>
    <t xml:space="preserve">                BDI</t>
  </si>
  <si>
    <t>B</t>
  </si>
  <si>
    <t>A</t>
  </si>
  <si>
    <t>A/B</t>
  </si>
  <si>
    <t>NA</t>
  </si>
  <si>
    <t>Central Telefônica</t>
  </si>
  <si>
    <t>MÊS</t>
  </si>
  <si>
    <t>MANUTENÇÃO PREVENTIVA CENTRAL TELEFONICA</t>
  </si>
  <si>
    <t>MATERIAL - MANUTENÇÃO CENTRAL TELEFONICA</t>
  </si>
  <si>
    <t>SINAPI. 72124, transformado para m</t>
  </si>
  <si>
    <t xml:space="preserve"> COMP. PRÓPRIA</t>
  </si>
  <si>
    <t>Substituição de assento sanitario plástico branco</t>
  </si>
  <si>
    <t xml:space="preserve">considerado perim. 1,40m </t>
  </si>
  <si>
    <t>SINAPI.93145</t>
  </si>
  <si>
    <t>HORA TECNICA (1ª HORA)</t>
  </si>
  <si>
    <t>HORA TECNICA (2ª HORA EM DIANTE)</t>
  </si>
  <si>
    <t>1.11.4.3</t>
  </si>
  <si>
    <t xml:space="preserve">Configuração de central telefonica e/ou reinstalação e configuração de software </t>
  </si>
  <si>
    <t>Manutenção Predial - Secex-SC</t>
  </si>
  <si>
    <t xml:space="preserve">                         Manutenção Predial - Secex-SC</t>
  </si>
  <si>
    <t>Substituição de piso cerâmico/porcelanato existente, incluso rodapé</t>
  </si>
  <si>
    <t>Substituição de piso em granito, incluso rodapé</t>
  </si>
  <si>
    <t>Substituição de cerâmica existente (sem fornecimento da cerâmica), incluso rodapé</t>
  </si>
  <si>
    <t>Substituição de soleira em granito  larg.=15 a 20cm</t>
  </si>
  <si>
    <t>Reinstalação de piso flutuante de madeira, com reaproveitamento de material</t>
  </si>
  <si>
    <t xml:space="preserve">Substituição de piso em carpete </t>
  </si>
  <si>
    <t>Substituição de revestimento em cerâmica/porcelanato existente</t>
  </si>
  <si>
    <t xml:space="preserve">                TRIBUNAL DE CONTAS DA UNIÃO                                                                                                                                         </t>
  </si>
  <si>
    <t xml:space="preserve">                 Secretaria de Engenharia</t>
  </si>
  <si>
    <t xml:space="preserve">                 Manutenção Predial - Secex-SC</t>
  </si>
  <si>
    <t>QUADRO ELÉTRICO</t>
  </si>
  <si>
    <t>Qtd.:</t>
  </si>
  <si>
    <t>ELETRICISTA</t>
  </si>
  <si>
    <t>MECÂNICO</t>
  </si>
  <si>
    <t>AUXILIAR</t>
  </si>
  <si>
    <t>SECEX-SC</t>
  </si>
  <si>
    <t>Serviço:</t>
  </si>
  <si>
    <t>Frequência:</t>
  </si>
  <si>
    <t>Fator de correção de periodicidade</t>
  </si>
  <si>
    <t>Eletricista(s)</t>
  </si>
  <si>
    <t>Tempo de serviço (h)</t>
  </si>
  <si>
    <t>Tempo efetivo mensal (h)</t>
  </si>
  <si>
    <t>Mecânico(s)</t>
  </si>
  <si>
    <t>Auxiliar(es)</t>
  </si>
  <si>
    <t>Orçamento</t>
  </si>
  <si>
    <t>Equipe</t>
  </si>
  <si>
    <t>Engenheiro Civil Pleno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</si>
  <si>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Limpeza geral dos componentes e painel;</t>
    </r>
  </si>
  <si>
    <t>Mensal</t>
  </si>
  <si>
    <t>-</t>
  </si>
  <si>
    <t>Eletricista (h)</t>
  </si>
  <si>
    <t>Mecânico</t>
  </si>
  <si>
    <t>Mecânico (h)</t>
  </si>
  <si>
    <t>Eletricista</t>
  </si>
  <si>
    <t>Auxiliar (h)</t>
  </si>
  <si>
    <t>Auxiliar de mecânico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</si>
  <si>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Verificar pontos de aquecimento anormal, detectar a origem e corrigir, bem como reapertar terminais, parafusos, fusíveis, etc...;</t>
    </r>
  </si>
  <si>
    <t>Total Mensal:</t>
  </si>
  <si>
    <t>Encarregado</t>
  </si>
  <si>
    <t>Total Anual SC: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</si>
  <si>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Registrar os dados levantados, bem como os itens substituídos, no relatório.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</si>
  <si>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Efetuar aferição de instrumentos, comparando com instrumentos portáteis precisos;</t>
    </r>
  </si>
  <si>
    <t>Semestral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</si>
  <si>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Verificar a regulagem dos relés de proteção através de transformadores de corrente;</t>
    </r>
  </si>
  <si>
    <r>
      <t>·</t>
    </r>
    <r>
      <rPr>
        <sz val="7"/>
        <rFont val="Times New Roman"/>
        <family val="1"/>
      </rPr>
      <t xml:space="preserve">  </t>
    </r>
    <r>
      <rPr>
        <sz val="12"/>
        <rFont val="Calibri"/>
        <family val="2"/>
        <scheme val="minor"/>
      </rPr>
      <t>Verificar e registrar se o tempo de transição das chaves de partida automáticas está ocorrendo sempre após o motor atingir a máxima aceleração possível, na condição de tensão reduzida;</t>
    </r>
  </si>
  <si>
    <t>Verificar existência de ruídos e vibrações anormais;</t>
  </si>
  <si>
    <t>Total Semestral:</t>
  </si>
  <si>
    <t>Lavar voluta e rotor ventiladores;</t>
  </si>
  <si>
    <t>Anual</t>
  </si>
  <si>
    <t>Verificar e remover ferrugem da bandeja;</t>
  </si>
  <si>
    <t>Verificar e remover ferrugem da serpentina;</t>
  </si>
  <si>
    <t>Verificar e desentupir os drenos;</t>
  </si>
  <si>
    <t>Lavar serpentina e bandeja da evaporadora;</t>
  </si>
  <si>
    <t>Verificar o isolamento térmico do gabinete;</t>
  </si>
  <si>
    <t>Total Anual:</t>
  </si>
  <si>
    <t>Lavar ou trocar os filtros de ar;</t>
  </si>
  <si>
    <t>Lavar serpentina do condensador e efetuar limpeza do gabinete;</t>
  </si>
  <si>
    <t>Verifica</t>
  </si>
  <si>
    <t>Verificar a existência de vazamentos de gás;</t>
  </si>
  <si>
    <t>Verificar atuação do pressostado de alta / baixa / óleo;</t>
  </si>
  <si>
    <t>Verificar isolamento térmico das tubulações;</t>
  </si>
  <si>
    <t>Efetuar limpeza geral da condensadora;</t>
  </si>
  <si>
    <t>Verificar funcionamento dos comandos (controle remoto) locais e/ou remotos;</t>
  </si>
  <si>
    <t>Verificar a calibragem / regulagem do termostato de controle de temperatura;</t>
  </si>
  <si>
    <t>Verificar Funcionamento do disjuntor / relé térmico / Capacitor de Partida;</t>
  </si>
  <si>
    <t>Efetuar reaperto dos terminais e parafusos;</t>
  </si>
  <si>
    <t>Medir e anotar isolamento do compressor;</t>
  </si>
  <si>
    <t>Medir e anotar isolamento do motor do ventilador.</t>
  </si>
  <si>
    <t>2.5.9</t>
  </si>
  <si>
    <t>2.5.9.1</t>
  </si>
  <si>
    <t>Serviços anuais PMOC</t>
  </si>
  <si>
    <t>2.5.6.1</t>
  </si>
  <si>
    <t>Forro em gesso acartonado, incl. Tabica</t>
  </si>
  <si>
    <t>Recarga de extintores CO2 ou PQS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</si>
  <si>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Calibri"/>
        <family val="2"/>
        <scheme val="minor"/>
      </rPr>
      <t>Verificar e registrar a corrente, voltagem de alimentação, sem carga e a plena carga verificando assim, possíveis quedas de tensão devido deficiência dos alimentadores;</t>
    </r>
  </si>
  <si>
    <t>2.4.10</t>
  </si>
  <si>
    <t>2.4.10.1</t>
  </si>
  <si>
    <t>SPLIT/CASSETE</t>
  </si>
  <si>
    <t>PERCENTUAL DE MÃO DE OBRA</t>
  </si>
  <si>
    <t>PERCENTUAL MATERIAL</t>
  </si>
  <si>
    <t>EQUIPABEM</t>
  </si>
  <si>
    <t>(48)30932323</t>
  </si>
  <si>
    <t>Marcos</t>
  </si>
  <si>
    <t>contato@equipabem.com.br</t>
  </si>
  <si>
    <t>CASA DO ANDAIME</t>
  </si>
  <si>
    <t>(48)32331476</t>
  </si>
  <si>
    <t>Anderson</t>
  </si>
  <si>
    <t>ANA LUBI</t>
  </si>
  <si>
    <t>(48)32247965</t>
  </si>
  <si>
    <t>contato@analubi.com.br</t>
  </si>
  <si>
    <t>ALUITA</t>
  </si>
  <si>
    <t>(48)33445275</t>
  </si>
  <si>
    <t>aluita@aluita.com.br</t>
  </si>
  <si>
    <t/>
  </si>
  <si>
    <t>RECARGA DE EXTINTOR PQS 4KG</t>
  </si>
  <si>
    <t>EMS EXTINTORES</t>
  </si>
  <si>
    <t>(48)33695713</t>
  </si>
  <si>
    <t>Ane</t>
  </si>
  <si>
    <t>emsextintor@gmail.com</t>
  </si>
  <si>
    <t>CASA DOS EXTINTORES</t>
  </si>
  <si>
    <t>(48)32486889</t>
  </si>
  <si>
    <t>casadosextintores@outlook.com.br</t>
  </si>
  <si>
    <t>MZ EXTINTORES</t>
  </si>
  <si>
    <t>(48)33422388</t>
  </si>
  <si>
    <t>adm@mzextintores.com.br</t>
  </si>
  <si>
    <t>SISTEC</t>
  </si>
  <si>
    <t>(48)30282424</t>
  </si>
  <si>
    <t>Franslei/Fernando</t>
  </si>
  <si>
    <t xml:space="preserve"> franslei@sistectelecom.com.br; fernando@sistectelecom.com.br</t>
  </si>
  <si>
    <t>ARTEL</t>
  </si>
  <si>
    <t>(48)32408288</t>
  </si>
  <si>
    <t>Andrea</t>
  </si>
  <si>
    <t>financeiro@arrastelecom.com.br</t>
  </si>
  <si>
    <t>Elisandro</t>
  </si>
  <si>
    <t>GRANITO AMARELO SANTA CECÍLIA</t>
  </si>
  <si>
    <t>Taiza</t>
  </si>
  <si>
    <t>Simon</t>
  </si>
  <si>
    <t>PISOS E FORMAS</t>
  </si>
  <si>
    <t>(48)32441452</t>
  </si>
  <si>
    <t>Samuel</t>
  </si>
  <si>
    <t>samuel@pisoseformas.com.br</t>
  </si>
  <si>
    <t>DETALHES</t>
  </si>
  <si>
    <t>(48)30249727</t>
  </si>
  <si>
    <t>Bruna/Pricila</t>
  </si>
  <si>
    <t>vendas01@detalhes.arq.br</t>
  </si>
  <si>
    <t xml:space="preserve">PERSIANA  HORIZONTAL LÂMINA DE ALUMINIO 16MM </t>
  </si>
  <si>
    <t>Substituição de micropersianas em divisórias modulares</t>
  </si>
  <si>
    <t>2.5.8</t>
  </si>
  <si>
    <t>2.5.8.1</t>
  </si>
  <si>
    <t>Inspeção 'no-breaks' de acordo com manuais dos fabricantes</t>
  </si>
  <si>
    <t>ELETROTÉCNICO COM ENCARGOS COMPLEMENTARES</t>
  </si>
  <si>
    <t>contato@casadoandaime.com</t>
  </si>
  <si>
    <t>COT-6</t>
  </si>
  <si>
    <t>A CARPETE</t>
  </si>
  <si>
    <t>(11)50621013</t>
  </si>
  <si>
    <t>https://www.lojadecarpete.com.br</t>
  </si>
  <si>
    <t>Adotado valor de Persiana Tipo Rolo com Blackout</t>
  </si>
  <si>
    <t>COT-13</t>
  </si>
  <si>
    <t>COT-14</t>
  </si>
  <si>
    <t>COT-15</t>
  </si>
  <si>
    <t>COT-18</t>
  </si>
  <si>
    <t>SÓ TUDO</t>
  </si>
  <si>
    <t>(41)32222777</t>
  </si>
  <si>
    <t>https://www.sotudo.com.br</t>
  </si>
  <si>
    <t>SHOPTIME/LOJA MATEL</t>
  </si>
  <si>
    <t>https://www.shoptime.com.br/</t>
  </si>
  <si>
    <t>COT- 28</t>
  </si>
  <si>
    <t>COT- 29</t>
  </si>
  <si>
    <t>COT- 30</t>
  </si>
  <si>
    <t>COT- 31</t>
  </si>
  <si>
    <t>orcamento@extincendio.com.br</t>
  </si>
  <si>
    <t>COT- 32</t>
  </si>
  <si>
    <t>COT- 33</t>
  </si>
  <si>
    <t>1.9.2.9</t>
  </si>
  <si>
    <t>Ponto de esgoto,  incluso rasgo e chumbamento em alvenaria</t>
  </si>
  <si>
    <t>SEINFRA.C1950</t>
  </si>
  <si>
    <t>AREIA GROSSA - POSTO JAZIDA/FORNECEDOR (RETIRADO NA JAZIDA, SEM TRANSPORTE)</t>
  </si>
  <si>
    <t>M³</t>
  </si>
  <si>
    <t>CAL HIDRATADA CH-I PARA ARGAMASSAS</t>
  </si>
  <si>
    <t>JOELHO, PVC SERIE R, 90 GRAUS, DN 100 MM, PARA ESGOTO PREDIAL</t>
  </si>
  <si>
    <t>JOELHO, PVC SERIE R, 90 GRAUS, DN 40 MM, PARA ESGOTO PREDIAL</t>
  </si>
  <si>
    <t>JOELHO, PVC SERIE R, 90 GRAUS, DN 50 MM, PARA ESGOTO PREDIAL</t>
  </si>
  <si>
    <t>TE SANITARIO, PVC, DN 100 X 100 MM, SERIE NORMAL, PARA ESGOTO PREDIAL</t>
  </si>
  <si>
    <t>TE SANITARIO, PVC, DN 40 X 40 MM, SERIE NORMAL, PARA ESGOTO PREDIAL</t>
  </si>
  <si>
    <t>TUBO PVC SERIE NORMAL, DN 100 MM, PARA ESGOTO PREDIAL (NBR 5688)</t>
  </si>
  <si>
    <t>TUBO PVC SERIE NORMAL, DN 40 MM, PARA ESGOTO PREDIAL (NBR 5688)</t>
  </si>
  <si>
    <t>TUBO PVC SERIE NORMAL, DN 50 MM, PARA ESGOTO PREDIAL (NBR 5688)</t>
  </si>
  <si>
    <t>Serviços de manutenção semestrais - Central Telefonica</t>
  </si>
  <si>
    <t>Encargos Socias (Sem desoneração/Horista/Sinapi - SC):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</si>
</sst>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"/>
    <numFmt numFmtId="165" formatCode="0.0000"/>
    <numFmt numFmtId="166" formatCode="0.00000"/>
    <numFmt numFmtId="167" formatCode="0.000"/>
    <numFmt numFmtId="168" formatCode="&quot;R$&quot;#,##0.00"/>
    <numFmt numFmtId="169" formatCode="_-&quot;R$&quot;* #,##0.00_-;\-&quot;R$&quot;* #,##0.00_-;_-&quot;R$&quot;* &quot;-&quot;??_-;_-@_-"/>
    <numFmt numFmtId="170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7"/>
      <color theme="1"/>
      <name val="Times New Roman"/>
      <family val="1"/>
    </font>
    <font>
      <sz val="7"/>
      <name val="Times New Roman"/>
      <family val="1"/>
    </font>
    <font>
      <b/>
      <sz val="12"/>
      <color indexed="8"/>
      <name val="Calibri"/>
      <family val="2"/>
      <scheme val="minor"/>
    </font>
    <font>
      <sz val="11"/>
      <color rgb="FF333333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22" fillId="0" borderId="0" applyNumberFormat="0" applyFill="0" applyBorder="0" applyAlignment="0" applyProtection="0"/>
    <xf numFmtId="169" fontId="1" fillId="0" borderId="0" applyFon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2" xfId="0" applyFont="1" applyFill="1" applyBorder="1"/>
    <xf numFmtId="0" fontId="7" fillId="0" borderId="0" xfId="0" applyFont="1"/>
    <xf numFmtId="0" fontId="2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43" fontId="5" fillId="3" borderId="2" xfId="1" applyFont="1" applyFill="1" applyBorder="1" applyAlignment="1">
      <alignment horizontal="center" vertical="center"/>
    </xf>
    <xf numFmtId="43" fontId="5" fillId="2" borderId="2" xfId="1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vertical="center" wrapText="1"/>
    </xf>
    <xf numFmtId="164" fontId="0" fillId="0" borderId="0" xfId="0" applyNumberFormat="1" applyBorder="1"/>
    <xf numFmtId="164" fontId="10" fillId="0" borderId="0" xfId="0" applyNumberFormat="1" applyFont="1" applyBorder="1" applyAlignment="1">
      <alignment horizontal="right" vertical="center" wrapText="1"/>
    </xf>
    <xf numFmtId="4" fontId="9" fillId="0" borderId="16" xfId="0" applyNumberFormat="1" applyFont="1" applyBorder="1" applyAlignment="1">
      <alignment vertical="center" wrapText="1"/>
    </xf>
    <xf numFmtId="164" fontId="10" fillId="0" borderId="0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center" wrapText="1"/>
    </xf>
    <xf numFmtId="164" fontId="10" fillId="0" borderId="17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165" fontId="10" fillId="0" borderId="0" xfId="0" applyNumberFormat="1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6" borderId="0" xfId="0" applyFont="1" applyFill="1" applyAlignment="1">
      <alignment horizontal="center"/>
    </xf>
    <xf numFmtId="0" fontId="2" fillId="6" borderId="0" xfId="0" applyFont="1" applyFill="1"/>
    <xf numFmtId="0" fontId="0" fillId="6" borderId="0" xfId="0" applyFill="1"/>
    <xf numFmtId="0" fontId="4" fillId="2" borderId="2" xfId="0" applyFont="1" applyFill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NumberFormat="1" applyFont="1" applyFill="1" applyBorder="1" applyAlignment="1">
      <alignment vertical="center" wrapText="1"/>
    </xf>
    <xf numFmtId="165" fontId="0" fillId="0" borderId="0" xfId="0" applyNumberFormat="1" applyBorder="1"/>
    <xf numFmtId="164" fontId="10" fillId="0" borderId="1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/>
    </xf>
    <xf numFmtId="0" fontId="9" fillId="0" borderId="22" xfId="0" applyFont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4" fontId="9" fillId="0" borderId="2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3" fontId="0" fillId="0" borderId="0" xfId="0" applyNumberFormat="1"/>
    <xf numFmtId="0" fontId="0" fillId="0" borderId="2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2" xfId="0" applyFont="1" applyBorder="1" applyAlignment="1">
      <alignment vertical="center" wrapText="1"/>
    </xf>
    <xf numFmtId="0" fontId="17" fillId="7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43" fontId="0" fillId="0" borderId="0" xfId="0" applyNumberFormat="1" applyAlignment="1">
      <alignment horizontal="center" vertical="center"/>
    </xf>
    <xf numFmtId="0" fontId="17" fillId="7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3" fillId="8" borderId="2" xfId="3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0" fillId="0" borderId="2" xfId="0" applyBorder="1"/>
    <xf numFmtId="10" fontId="0" fillId="0" borderId="2" xfId="0" applyNumberFormat="1" applyBorder="1"/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10" fontId="0" fillId="0" borderId="0" xfId="0" applyNumberFormat="1" applyAlignment="1">
      <alignment horizontal="left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" fontId="9" fillId="0" borderId="17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66" fontId="10" fillId="0" borderId="0" xfId="0" applyNumberFormat="1" applyFont="1" applyBorder="1" applyAlignment="1">
      <alignment vertical="center" wrapText="1"/>
    </xf>
    <xf numFmtId="0" fontId="10" fillId="0" borderId="15" xfId="0" applyNumberFormat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vertical="center"/>
    </xf>
    <xf numFmtId="166" fontId="10" fillId="0" borderId="0" xfId="0" applyNumberFormat="1" applyFont="1" applyBorder="1" applyAlignment="1">
      <alignment horizontal="center" vertical="center" wrapText="1"/>
    </xf>
    <xf numFmtId="166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4" fontId="0" fillId="0" borderId="2" xfId="0" applyNumberFormat="1" applyFont="1" applyFill="1" applyBorder="1" applyAlignment="1">
      <alignment horizontal="center" vertical="center"/>
    </xf>
    <xf numFmtId="43" fontId="1" fillId="0" borderId="2" xfId="1" applyFont="1" applyFill="1" applyBorder="1" applyAlignment="1">
      <alignment horizontal="center" vertical="center"/>
    </xf>
    <xf numFmtId="43" fontId="4" fillId="0" borderId="2" xfId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3" fontId="1" fillId="0" borderId="2" xfId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3" fontId="4" fillId="3" borderId="2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43" fontId="1" fillId="0" borderId="2" xfId="1" applyFont="1" applyBorder="1" applyAlignment="1">
      <alignment horizontal="center" vertical="center" wrapText="1"/>
    </xf>
    <xf numFmtId="0" fontId="0" fillId="0" borderId="0" xfId="0"/>
    <xf numFmtId="0" fontId="24" fillId="0" borderId="2" xfId="0" applyFont="1" applyFill="1" applyBorder="1" applyAlignment="1" applyProtection="1">
      <alignment horizontal="center" vertical="center" wrapText="1"/>
      <protection hidden="1"/>
    </xf>
    <xf numFmtId="43" fontId="7" fillId="0" borderId="2" xfId="1" applyFont="1" applyFill="1" applyBorder="1" applyAlignment="1">
      <alignment horizontal="center" vertical="center"/>
    </xf>
    <xf numFmtId="43" fontId="2" fillId="0" borderId="0" xfId="0" applyNumberFormat="1" applyFont="1"/>
    <xf numFmtId="43" fontId="2" fillId="0" borderId="0" xfId="0" applyNumberFormat="1" applyFont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3" fontId="23" fillId="0" borderId="2" xfId="1" applyFont="1" applyFill="1" applyBorder="1" applyAlignment="1">
      <alignment horizontal="center" vertical="center" wrapText="1"/>
    </xf>
    <xf numFmtId="43" fontId="7" fillId="0" borderId="2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22" fillId="0" borderId="2" xfId="4" applyFill="1" applyBorder="1" applyAlignment="1">
      <alignment horizontal="center" vertical="center"/>
    </xf>
    <xf numFmtId="0" fontId="25" fillId="0" borderId="2" xfId="4" applyFont="1" applyFill="1" applyBorder="1" applyAlignment="1">
      <alignment horizontal="center" vertical="center"/>
    </xf>
    <xf numFmtId="0" fontId="22" fillId="0" borderId="2" xfId="4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3" fontId="0" fillId="0" borderId="0" xfId="0" applyNumberFormat="1" applyFont="1" applyAlignment="1">
      <alignment horizontal="center"/>
    </xf>
    <xf numFmtId="0" fontId="27" fillId="0" borderId="2" xfId="4" applyFont="1" applyFill="1" applyBorder="1" applyAlignment="1">
      <alignment horizontal="center" vertical="center"/>
    </xf>
    <xf numFmtId="0" fontId="0" fillId="0" borderId="0" xfId="0" applyFill="1"/>
    <xf numFmtId="0" fontId="6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3" fontId="6" fillId="0" borderId="2" xfId="1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26" fillId="0" borderId="8" xfId="0" applyFont="1" applyFill="1" applyBorder="1" applyAlignment="1">
      <alignment vertical="center" wrapText="1"/>
    </xf>
    <xf numFmtId="0" fontId="23" fillId="0" borderId="2" xfId="0" applyFont="1" applyFill="1" applyBorder="1" applyAlignment="1" applyProtection="1">
      <alignment horizontal="left" vertical="center" wrapText="1"/>
      <protection hidden="1"/>
    </xf>
    <xf numFmtId="0" fontId="28" fillId="0" borderId="0" xfId="0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8" fillId="0" borderId="26" xfId="0" applyFont="1" applyBorder="1" applyAlignment="1">
      <alignment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9" fontId="21" fillId="0" borderId="0" xfId="0" applyNumberFormat="1" applyFont="1" applyFill="1" applyAlignment="1">
      <alignment vertical="center" wrapText="1"/>
    </xf>
    <xf numFmtId="9" fontId="21" fillId="0" borderId="0" xfId="0" applyNumberFormat="1" applyFont="1" applyFill="1" applyAlignment="1">
      <alignment horizontal="right" vertical="center" wrapText="1"/>
    </xf>
    <xf numFmtId="9" fontId="10" fillId="0" borderId="0" xfId="2" applyFont="1" applyFill="1" applyBorder="1" applyAlignment="1">
      <alignment horizontal="right" vertical="center" wrapText="1"/>
    </xf>
    <xf numFmtId="9" fontId="0" fillId="0" borderId="0" xfId="2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2" xfId="0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2" fillId="0" borderId="0" xfId="4" applyFill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9" fontId="10" fillId="0" borderId="0" xfId="2" applyFont="1" applyFill="1" applyBorder="1" applyAlignment="1">
      <alignment vertical="center" wrapText="1"/>
    </xf>
    <xf numFmtId="0" fontId="0" fillId="0" borderId="16" xfId="0" applyBorder="1"/>
    <xf numFmtId="43" fontId="10" fillId="0" borderId="0" xfId="1" applyFont="1" applyFill="1" applyBorder="1" applyAlignment="1">
      <alignment vertical="center" wrapText="1"/>
    </xf>
    <xf numFmtId="10" fontId="0" fillId="0" borderId="2" xfId="0" applyNumberFormat="1" applyFill="1" applyBorder="1"/>
    <xf numFmtId="10" fontId="0" fillId="0" borderId="2" xfId="0" applyNumberFormat="1" applyFill="1" applyBorder="1" applyAlignment="1">
      <alignment vertical="center"/>
    </xf>
    <xf numFmtId="4" fontId="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43" fontId="6" fillId="0" borderId="2" xfId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" fontId="0" fillId="0" borderId="0" xfId="0" applyNumberFormat="1" applyAlignment="1">
      <alignment horizontal="left" vertical="center"/>
    </xf>
    <xf numFmtId="43" fontId="15" fillId="5" borderId="2" xfId="1" applyFont="1" applyFill="1" applyBorder="1" applyAlignment="1">
      <alignment horizontal="right" vertical="center"/>
    </xf>
    <xf numFmtId="0" fontId="15" fillId="5" borderId="2" xfId="0" applyFont="1" applyFill="1" applyBorder="1" applyAlignment="1">
      <alignment horizontal="right" vertical="center"/>
    </xf>
    <xf numFmtId="43" fontId="15" fillId="5" borderId="2" xfId="1" applyFont="1" applyFill="1" applyBorder="1" applyAlignment="1">
      <alignment horizontal="center" vertical="center"/>
    </xf>
    <xf numFmtId="0" fontId="0" fillId="5" borderId="2" xfId="0" applyFill="1" applyBorder="1"/>
    <xf numFmtId="0" fontId="15" fillId="0" borderId="0" xfId="0" applyFont="1" applyBorder="1" applyAlignment="1">
      <alignment horizontal="right" vertical="center"/>
    </xf>
    <xf numFmtId="43" fontId="15" fillId="0" borderId="0" xfId="1" applyFont="1" applyBorder="1" applyAlignment="1">
      <alignment horizontal="right" vertical="center"/>
    </xf>
    <xf numFmtId="43" fontId="15" fillId="0" borderId="0" xfId="1" applyFont="1" applyBorder="1" applyAlignment="1">
      <alignment horizontal="center" vertical="center"/>
    </xf>
    <xf numFmtId="10" fontId="0" fillId="0" borderId="0" xfId="2" applyNumberFormat="1" applyFont="1" applyBorder="1" applyAlignment="1">
      <alignment vertical="center"/>
    </xf>
    <xf numFmtId="0" fontId="18" fillId="7" borderId="2" xfId="0" applyFont="1" applyFill="1" applyBorder="1" applyAlignment="1">
      <alignment vertical="center"/>
    </xf>
    <xf numFmtId="43" fontId="15" fillId="5" borderId="2" xfId="1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43" fontId="16" fillId="5" borderId="2" xfId="1" applyFont="1" applyFill="1" applyBorder="1" applyAlignment="1">
      <alignment horizontal="center" vertical="center"/>
    </xf>
    <xf numFmtId="10" fontId="15" fillId="5" borderId="2" xfId="0" applyNumberFormat="1" applyFont="1" applyFill="1" applyBorder="1" applyAlignment="1">
      <alignment vertical="center"/>
    </xf>
    <xf numFmtId="43" fontId="16" fillId="5" borderId="6" xfId="1" applyFont="1" applyFill="1" applyBorder="1" applyAlignment="1">
      <alignment horizontal="center" vertical="center"/>
    </xf>
    <xf numFmtId="0" fontId="2" fillId="0" borderId="0" xfId="0" applyFont="1"/>
    <xf numFmtId="43" fontId="0" fillId="0" borderId="2" xfId="1" applyFont="1" applyFill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167" fontId="10" fillId="0" borderId="0" xfId="0" applyNumberFormat="1" applyFon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7" fillId="0" borderId="0" xfId="0" applyFont="1" applyFill="1"/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quotePrefix="1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2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9" fillId="0" borderId="0" xfId="0" applyFont="1"/>
    <xf numFmtId="0" fontId="29" fillId="0" borderId="0" xfId="0" applyFont="1" applyBorder="1" applyAlignment="1">
      <alignment horizontal="left"/>
    </xf>
    <xf numFmtId="0" fontId="30" fillId="9" borderId="2" xfId="0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30" fillId="0" borderId="0" xfId="0" applyFont="1" applyFill="1" applyBorder="1" applyAlignment="1">
      <alignment horizont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9" borderId="2" xfId="0" applyFont="1" applyFill="1" applyBorder="1"/>
    <xf numFmtId="168" fontId="0" fillId="0" borderId="2" xfId="0" applyNumberFormat="1" applyFill="1" applyBorder="1"/>
    <xf numFmtId="169" fontId="0" fillId="0" borderId="0" xfId="5" applyFont="1"/>
    <xf numFmtId="0" fontId="7" fillId="0" borderId="34" xfId="0" applyFont="1" applyBorder="1" applyAlignment="1">
      <alignment horizontal="left" vertical="center" wrapText="1" indent="1"/>
    </xf>
    <xf numFmtId="0" fontId="7" fillId="12" borderId="35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2" fontId="0" fillId="13" borderId="27" xfId="0" applyNumberFormat="1" applyFill="1" applyBorder="1" applyAlignment="1">
      <alignment horizontal="center" vertical="center"/>
    </xf>
    <xf numFmtId="1" fontId="2" fillId="14" borderId="36" xfId="0" applyNumberFormat="1" applyFont="1" applyFill="1" applyBorder="1" applyAlignment="1">
      <alignment vertical="center"/>
    </xf>
    <xf numFmtId="170" fontId="0" fillId="14" borderId="2" xfId="0" applyNumberFormat="1" applyFill="1" applyBorder="1" applyAlignment="1">
      <alignment horizontal="center" vertical="center"/>
    </xf>
    <xf numFmtId="169" fontId="0" fillId="14" borderId="37" xfId="5" applyFont="1" applyFill="1" applyBorder="1" applyAlignment="1">
      <alignment horizontal="center" vertical="center"/>
    </xf>
    <xf numFmtId="170" fontId="0" fillId="5" borderId="6" xfId="0" applyNumberFormat="1" applyFill="1" applyBorder="1" applyAlignment="1">
      <alignment horizontal="center" vertical="center"/>
    </xf>
    <xf numFmtId="0" fontId="0" fillId="5" borderId="0" xfId="0" applyFill="1"/>
    <xf numFmtId="0" fontId="7" fillId="12" borderId="38" xfId="0" applyFont="1" applyFill="1" applyBorder="1" applyAlignment="1">
      <alignment horizontal="center" vertical="center" wrapText="1"/>
    </xf>
    <xf numFmtId="1" fontId="2" fillId="15" borderId="36" xfId="0" applyNumberFormat="1" applyFont="1" applyFill="1" applyBorder="1" applyAlignment="1">
      <alignment vertical="center"/>
    </xf>
    <xf numFmtId="170" fontId="0" fillId="15" borderId="2" xfId="0" applyNumberFormat="1" applyFill="1" applyBorder="1" applyAlignment="1">
      <alignment horizontal="center" vertical="center"/>
    </xf>
    <xf numFmtId="169" fontId="0" fillId="15" borderId="37" xfId="5" applyFont="1" applyFill="1" applyBorder="1" applyAlignment="1">
      <alignment horizontal="center" vertical="center"/>
    </xf>
    <xf numFmtId="0" fontId="7" fillId="0" borderId="21" xfId="0" applyFont="1" applyBorder="1" applyAlignment="1">
      <alignment horizontal="left" vertical="center" wrapText="1" indent="1"/>
    </xf>
    <xf numFmtId="1" fontId="2" fillId="16" borderId="36" xfId="0" applyNumberFormat="1" applyFont="1" applyFill="1" applyBorder="1" applyAlignment="1">
      <alignment vertical="center"/>
    </xf>
    <xf numFmtId="170" fontId="0" fillId="16" borderId="2" xfId="0" applyNumberFormat="1" applyFill="1" applyBorder="1" applyAlignment="1">
      <alignment horizontal="center" vertical="center"/>
    </xf>
    <xf numFmtId="169" fontId="0" fillId="16" borderId="37" xfId="5" applyFont="1" applyFill="1" applyBorder="1" applyAlignment="1">
      <alignment horizontal="center" vertical="center"/>
    </xf>
    <xf numFmtId="0" fontId="7" fillId="0" borderId="39" xfId="0" applyFont="1" applyBorder="1" applyAlignment="1">
      <alignment vertical="center" wrapText="1"/>
    </xf>
    <xf numFmtId="169" fontId="0" fillId="17" borderId="42" xfId="5" applyFont="1" applyFill="1" applyBorder="1" applyAlignment="1">
      <alignment horizontal="center" vertical="center"/>
    </xf>
    <xf numFmtId="44" fontId="0" fillId="0" borderId="0" xfId="0" applyNumberFormat="1"/>
    <xf numFmtId="0" fontId="7" fillId="12" borderId="4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 indent="1"/>
    </xf>
    <xf numFmtId="0" fontId="7" fillId="12" borderId="44" xfId="0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2" fillId="3" borderId="3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2" fontId="6" fillId="0" borderId="46" xfId="0" applyNumberFormat="1" applyFont="1" applyBorder="1" applyAlignment="1">
      <alignment horizontal="center" vertical="center" wrapText="1"/>
    </xf>
    <xf numFmtId="0" fontId="7" fillId="0" borderId="47" xfId="0" applyFont="1" applyFill="1" applyBorder="1" applyAlignment="1">
      <alignment horizontal="left" vertical="center" wrapText="1" indent="1"/>
    </xf>
    <xf numFmtId="0" fontId="7" fillId="12" borderId="47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left" vertical="center" wrapText="1" indent="1"/>
    </xf>
    <xf numFmtId="0" fontId="7" fillId="12" borderId="48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left" vertical="center" wrapText="1" indent="1"/>
    </xf>
    <xf numFmtId="0" fontId="7" fillId="3" borderId="48" xfId="0" applyFont="1" applyFill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0" fontId="4" fillId="0" borderId="0" xfId="2" applyNumberFormat="1" applyFont="1"/>
    <xf numFmtId="43" fontId="0" fillId="0" borderId="0" xfId="1" applyFont="1" applyFill="1"/>
    <xf numFmtId="43" fontId="0" fillId="0" borderId="0" xfId="1" applyFont="1"/>
    <xf numFmtId="0" fontId="2" fillId="18" borderId="0" xfId="0" applyFont="1" applyFill="1" applyAlignment="1">
      <alignment horizontal="center" wrapText="1"/>
    </xf>
    <xf numFmtId="0" fontId="0" fillId="18" borderId="0" xfId="0" applyFill="1" applyAlignment="1">
      <alignment horizontal="center" vertical="center"/>
    </xf>
    <xf numFmtId="10" fontId="2" fillId="9" borderId="0" xfId="2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hidden="1"/>
    </xf>
    <xf numFmtId="0" fontId="23" fillId="0" borderId="4" xfId="0" applyFont="1" applyFill="1" applyBorder="1" applyAlignment="1" applyProtection="1">
      <alignment horizontal="left" vertical="center" wrapText="1"/>
      <protection hidden="1"/>
    </xf>
    <xf numFmtId="0" fontId="21" fillId="0" borderId="15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vertical="center" wrapText="1"/>
    </xf>
    <xf numFmtId="0" fontId="22" fillId="0" borderId="0" xfId="4" applyFill="1" applyAlignment="1">
      <alignment horizontal="center"/>
    </xf>
    <xf numFmtId="0" fontId="26" fillId="0" borderId="2" xfId="0" applyFont="1" applyFill="1" applyBorder="1" applyAlignment="1" applyProtection="1">
      <alignment horizontal="left" vertical="center" wrapText="1"/>
      <protection hidden="1"/>
    </xf>
    <xf numFmtId="0" fontId="34" fillId="0" borderId="2" xfId="0" applyFont="1" applyFill="1" applyBorder="1" applyAlignment="1" applyProtection="1">
      <alignment horizontal="center" vertical="center" wrapText="1"/>
      <protection hidden="1"/>
    </xf>
    <xf numFmtId="43" fontId="0" fillId="0" borderId="0" xfId="1" applyFont="1" applyFill="1" applyAlignment="1">
      <alignment vertical="center"/>
    </xf>
    <xf numFmtId="0" fontId="35" fillId="0" borderId="0" xfId="0" applyFont="1" applyBorder="1"/>
    <xf numFmtId="0" fontId="23" fillId="0" borderId="0" xfId="0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3" fillId="8" borderId="2" xfId="3" applyFont="1" applyFill="1" applyBorder="1" applyAlignment="1">
      <alignment horizontal="center" vertical="center"/>
    </xf>
    <xf numFmtId="0" fontId="13" fillId="8" borderId="2" xfId="3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43" fontId="2" fillId="0" borderId="7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1" fontId="2" fillId="17" borderId="40" xfId="0" applyNumberFormat="1" applyFont="1" applyFill="1" applyBorder="1" applyAlignment="1">
      <alignment horizontal="center" vertical="center"/>
    </xf>
    <xf numFmtId="1" fontId="2" fillId="17" borderId="41" xfId="0" applyNumberFormat="1" applyFont="1" applyFill="1" applyBorder="1" applyAlignment="1">
      <alignment horizontal="center" vertical="center"/>
    </xf>
    <xf numFmtId="0" fontId="30" fillId="9" borderId="5" xfId="0" applyFont="1" applyFill="1" applyBorder="1" applyAlignment="1">
      <alignment horizontal="center"/>
    </xf>
    <xf numFmtId="0" fontId="30" fillId="9" borderId="6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" fontId="2" fillId="17" borderId="21" xfId="0" applyNumberFormat="1" applyFont="1" applyFill="1" applyBorder="1" applyAlignment="1">
      <alignment horizontal="center" vertical="center"/>
    </xf>
    <xf numFmtId="1" fontId="2" fillId="17" borderId="23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11" borderId="31" xfId="0" applyFont="1" applyFill="1" applyBorder="1" applyAlignment="1">
      <alignment horizontal="center" vertical="center"/>
    </xf>
    <xf numFmtId="0" fontId="2" fillId="11" borderId="32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0" fillId="10" borderId="0" xfId="0" applyFill="1" applyAlignment="1">
      <alignment horizontal="center"/>
    </xf>
  </cellXfs>
  <cellStyles count="6">
    <cellStyle name="Cancel 2 2" xfId="3"/>
    <cellStyle name="Hiperlink" xfId="4" builtinId="8"/>
    <cellStyle name="Moeda 2" xfId="5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11206</xdr:colOff>
      <xdr:row>1</xdr:row>
      <xdr:rowOff>11206</xdr:rowOff>
    </xdr:from>
    <xdr:to>
      <xdr:col>2</xdr:col>
      <xdr:colOff>623</xdr:colOff>
      <xdr:row>4</xdr:row>
      <xdr:rowOff>11207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588" y="201706"/>
          <a:ext cx="964329" cy="795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1</xdr:row>
      <xdr:rowOff>9526</xdr:rowOff>
    </xdr:from>
    <xdr:to>
      <xdr:col>1</xdr:col>
      <xdr:colOff>676275</xdr:colOff>
      <xdr:row>2</xdr:row>
      <xdr:rowOff>151718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1" y="200026"/>
          <a:ext cx="657224" cy="5422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276991</xdr:colOff>
      <xdr:row>3</xdr:row>
      <xdr:rowOff>71006</xdr:rowOff>
    </xdr:from>
    <xdr:to>
      <xdr:col>1</xdr:col>
      <xdr:colOff>934215</xdr:colOff>
      <xdr:row>5</xdr:row>
      <xdr:rowOff>221456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312" y="642506"/>
          <a:ext cx="657224" cy="5586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47625</xdr:rowOff>
    </xdr:from>
    <xdr:to>
      <xdr:col>9</xdr:col>
      <xdr:colOff>590550</xdr:colOff>
      <xdr:row>38</xdr:row>
      <xdr:rowOff>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49" y="47625"/>
          <a:ext cx="6045201" cy="7191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48391</xdr:colOff>
      <xdr:row>1</xdr:row>
      <xdr:rowOff>61482</xdr:rowOff>
    </xdr:from>
    <xdr:to>
      <xdr:col>3</xdr:col>
      <xdr:colOff>590377</xdr:colOff>
      <xdr:row>3</xdr:row>
      <xdr:rowOff>161925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4341" y="442482"/>
          <a:ext cx="541986" cy="481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eroymerlin.com.br/" TargetMode="External"/><Relationship Id="rId13" Type="http://schemas.openxmlformats.org/officeDocument/2006/relationships/hyperlink" Target="https://www.cassol.com.br/" TargetMode="External"/><Relationship Id="rId18" Type="http://schemas.openxmlformats.org/officeDocument/2006/relationships/hyperlink" Target="http://www.ferragemigor.com.br/" TargetMode="External"/><Relationship Id="rId26" Type="http://schemas.openxmlformats.org/officeDocument/2006/relationships/hyperlink" Target="mailto:carol@qualisil.com.br" TargetMode="External"/><Relationship Id="rId39" Type="http://schemas.openxmlformats.org/officeDocument/2006/relationships/hyperlink" Target="mailto:contato@casadoandaime.com" TargetMode="External"/><Relationship Id="rId3" Type="http://schemas.openxmlformats.org/officeDocument/2006/relationships/hyperlink" Target="mailto:andaimesctb@gmail.com" TargetMode="External"/><Relationship Id="rId21" Type="http://schemas.openxmlformats.org/officeDocument/2006/relationships/hyperlink" Target="https://www.eletroinfocia.com.br/" TargetMode="External"/><Relationship Id="rId34" Type="http://schemas.openxmlformats.org/officeDocument/2006/relationships/hyperlink" Target="mailto:adm@mzextintores.com.br" TargetMode="External"/><Relationship Id="rId42" Type="http://schemas.openxmlformats.org/officeDocument/2006/relationships/hyperlink" Target="https://www.cassol.com.br/" TargetMode="External"/><Relationship Id="rId47" Type="http://schemas.openxmlformats.org/officeDocument/2006/relationships/drawing" Target="../drawings/drawing3.xml"/><Relationship Id="rId7" Type="http://schemas.openxmlformats.org/officeDocument/2006/relationships/hyperlink" Target="https://www.leroymerlin.com.br/" TargetMode="External"/><Relationship Id="rId12" Type="http://schemas.openxmlformats.org/officeDocument/2006/relationships/hyperlink" Target="https://www.cassol.com.br/" TargetMode="External"/><Relationship Id="rId17" Type="http://schemas.openxmlformats.org/officeDocument/2006/relationships/hyperlink" Target="http://www.ferragemigor.com.br/" TargetMode="External"/><Relationship Id="rId25" Type="http://schemas.openxmlformats.org/officeDocument/2006/relationships/hyperlink" Target="https://www.alluweb.com.br/" TargetMode="External"/><Relationship Id="rId33" Type="http://schemas.openxmlformats.org/officeDocument/2006/relationships/hyperlink" Target="mailto:casadosextintores@outlook.com.br" TargetMode="External"/><Relationship Id="rId38" Type="http://schemas.openxmlformats.org/officeDocument/2006/relationships/hyperlink" Target="mailto:samuel@pisoseformas.com.br" TargetMode="External"/><Relationship Id="rId46" Type="http://schemas.openxmlformats.org/officeDocument/2006/relationships/printerSettings" Target="../printerSettings/printerSettings3.bin"/><Relationship Id="rId2" Type="http://schemas.openxmlformats.org/officeDocument/2006/relationships/hyperlink" Target="mailto:rodrigomello@casasaopaulo.com" TargetMode="External"/><Relationship Id="rId16" Type="http://schemas.openxmlformats.org/officeDocument/2006/relationships/hyperlink" Target="http://www.ferragemigor.com.br/" TargetMode="External"/><Relationship Id="rId20" Type="http://schemas.openxmlformats.org/officeDocument/2006/relationships/hyperlink" Target="https://www.atera.com.br/" TargetMode="External"/><Relationship Id="rId29" Type="http://schemas.openxmlformats.org/officeDocument/2006/relationships/hyperlink" Target="mailto:contato@equipabem.com.br" TargetMode="External"/><Relationship Id="rId41" Type="http://schemas.openxmlformats.org/officeDocument/2006/relationships/hyperlink" Target="mailto:vendas01@detalhes.arq.br" TargetMode="External"/><Relationship Id="rId1" Type="http://schemas.openxmlformats.org/officeDocument/2006/relationships/hyperlink" Target="mailto:vladimir@walterbeltrame.com.br" TargetMode="External"/><Relationship Id="rId6" Type="http://schemas.openxmlformats.org/officeDocument/2006/relationships/hyperlink" Target="http://www.multipecastec.com.br/" TargetMode="External"/><Relationship Id="rId11" Type="http://schemas.openxmlformats.org/officeDocument/2006/relationships/hyperlink" Target="https://www.cassol.com.br/" TargetMode="External"/><Relationship Id="rId24" Type="http://schemas.openxmlformats.org/officeDocument/2006/relationships/hyperlink" Target="https://www.leroymerlin.com.br/" TargetMode="External"/><Relationship Id="rId32" Type="http://schemas.openxmlformats.org/officeDocument/2006/relationships/hyperlink" Target="mailto:emsextintor@gmail.com" TargetMode="External"/><Relationship Id="rId37" Type="http://schemas.openxmlformats.org/officeDocument/2006/relationships/hyperlink" Target="mailto:contato@valentinadecor.com.br" TargetMode="External"/><Relationship Id="rId40" Type="http://schemas.openxmlformats.org/officeDocument/2006/relationships/hyperlink" Target="https://www.lojadecarpete.com.br/" TargetMode="External"/><Relationship Id="rId45" Type="http://schemas.openxmlformats.org/officeDocument/2006/relationships/hyperlink" Target="mailto:orcamento@extincendio.com.br" TargetMode="External"/><Relationship Id="rId5" Type="http://schemas.openxmlformats.org/officeDocument/2006/relationships/hyperlink" Target="mailto:orcamento@distrisulsc.com.br" TargetMode="External"/><Relationship Id="rId15" Type="http://schemas.openxmlformats.org/officeDocument/2006/relationships/hyperlink" Target="http://www.ferragemigor.com.br/" TargetMode="External"/><Relationship Id="rId23" Type="http://schemas.openxmlformats.org/officeDocument/2006/relationships/hyperlink" Target="https://www.leroymerlin.com.br/" TargetMode="External"/><Relationship Id="rId28" Type="http://schemas.openxmlformats.org/officeDocument/2006/relationships/hyperlink" Target="mailto:systel@systel.com.br" TargetMode="External"/><Relationship Id="rId36" Type="http://schemas.openxmlformats.org/officeDocument/2006/relationships/hyperlink" Target="mailto:ciadoandaime@hotmail.com" TargetMode="External"/><Relationship Id="rId10" Type="http://schemas.openxmlformats.org/officeDocument/2006/relationships/hyperlink" Target="https://www.cassol.com.br/" TargetMode="External"/><Relationship Id="rId19" Type="http://schemas.openxmlformats.org/officeDocument/2006/relationships/hyperlink" Target="http://www.eletronicasantana.com.br/" TargetMode="External"/><Relationship Id="rId31" Type="http://schemas.openxmlformats.org/officeDocument/2006/relationships/hyperlink" Target="mailto:aluita@aluita.com.br" TargetMode="External"/><Relationship Id="rId44" Type="http://schemas.openxmlformats.org/officeDocument/2006/relationships/hyperlink" Target="https://www.cassol.com.br/" TargetMode="External"/><Relationship Id="rId4" Type="http://schemas.openxmlformats.org/officeDocument/2006/relationships/hyperlink" Target="https://www.cassol.com.br/" TargetMode="External"/><Relationship Id="rId9" Type="http://schemas.openxmlformats.org/officeDocument/2006/relationships/hyperlink" Target="https://www.cassol.com.br/" TargetMode="External"/><Relationship Id="rId14" Type="http://schemas.openxmlformats.org/officeDocument/2006/relationships/hyperlink" Target="https://www.leroymerlin.com.br/" TargetMode="External"/><Relationship Id="rId22" Type="http://schemas.openxmlformats.org/officeDocument/2006/relationships/hyperlink" Target="mailto:contato@valentinadecor.com.br" TargetMode="External"/><Relationship Id="rId27" Type="http://schemas.openxmlformats.org/officeDocument/2006/relationships/hyperlink" Target="http://www.telhanorte.com.br/" TargetMode="External"/><Relationship Id="rId30" Type="http://schemas.openxmlformats.org/officeDocument/2006/relationships/hyperlink" Target="mailto:contato@analubi.com.br" TargetMode="External"/><Relationship Id="rId35" Type="http://schemas.openxmlformats.org/officeDocument/2006/relationships/hyperlink" Target="mailto:financeiro@arrastelecom.com.br" TargetMode="External"/><Relationship Id="rId43" Type="http://schemas.openxmlformats.org/officeDocument/2006/relationships/hyperlink" Target="https://www.leroymerlin.com.br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38"/>
  <sheetViews>
    <sheetView tabSelected="1" zoomScale="85" zoomScaleNormal="85" workbookViewId="0"/>
  </sheetViews>
  <sheetFormatPr defaultRowHeight="15" x14ac:dyDescent="0.25"/>
  <cols>
    <col min="1" max="1" width="5.28515625" style="161" customWidth="1"/>
    <col min="2" max="2" width="14.5703125" style="10" customWidth="1"/>
    <col min="3" max="3" width="85.5703125" style="48" customWidth="1"/>
    <col min="4" max="4" width="10" style="10" customWidth="1"/>
    <col min="5" max="5" width="12.28515625" style="10" customWidth="1"/>
    <col min="6" max="6" width="16.42578125" style="10" bestFit="1" customWidth="1"/>
    <col min="7" max="7" width="14.85546875" style="10" customWidth="1"/>
    <col min="8" max="8" width="14.5703125" style="10" customWidth="1"/>
    <col min="9" max="9" width="21.28515625" style="10" customWidth="1"/>
    <col min="10" max="10" width="36.28515625" style="10" customWidth="1"/>
    <col min="11" max="11" width="13.42578125" style="10" bestFit="1" customWidth="1"/>
    <col min="12" max="13" width="9.7109375" style="1" bestFit="1" customWidth="1"/>
    <col min="14" max="16384" width="9.140625" style="1"/>
  </cols>
  <sheetData>
    <row r="2" spans="1:11" ht="31.5" x14ac:dyDescent="0.25">
      <c r="C2" s="100" t="s">
        <v>376</v>
      </c>
      <c r="G2" s="1"/>
      <c r="H2" s="1"/>
      <c r="K2" s="100"/>
    </row>
    <row r="3" spans="1:11" s="179" customFormat="1" ht="15.75" x14ac:dyDescent="0.25">
      <c r="A3" s="161"/>
      <c r="B3" s="10"/>
      <c r="C3" s="100" t="s">
        <v>1101</v>
      </c>
      <c r="D3" s="10"/>
      <c r="E3" s="10"/>
      <c r="F3" s="10"/>
      <c r="I3" s="84" t="s">
        <v>1078</v>
      </c>
      <c r="J3" s="221">
        <v>43101</v>
      </c>
      <c r="K3" s="100"/>
    </row>
    <row r="4" spans="1:11" x14ac:dyDescent="0.25">
      <c r="C4" s="1"/>
      <c r="I4" s="84" t="s">
        <v>1271</v>
      </c>
      <c r="J4" s="107">
        <v>1.1422000000000001</v>
      </c>
    </row>
    <row r="5" spans="1:11" x14ac:dyDescent="0.25">
      <c r="I5" s="84" t="s">
        <v>377</v>
      </c>
      <c r="J5" s="107">
        <f>BDI!E16</f>
        <v>0.22966016838268466</v>
      </c>
    </row>
    <row r="6" spans="1:11" ht="21" x14ac:dyDescent="0.35">
      <c r="B6" s="351" t="s">
        <v>1077</v>
      </c>
      <c r="C6" s="351"/>
      <c r="D6" s="351"/>
      <c r="E6" s="351"/>
      <c r="F6" s="351"/>
      <c r="G6" s="351"/>
      <c r="H6" s="351"/>
      <c r="I6" s="351"/>
      <c r="J6" s="351"/>
      <c r="K6" s="351"/>
    </row>
    <row r="7" spans="1:11" s="3" customFormat="1" ht="15.75" x14ac:dyDescent="0.25">
      <c r="A7" s="245"/>
      <c r="B7" s="352" t="s">
        <v>5</v>
      </c>
      <c r="C7" s="353" t="s">
        <v>1</v>
      </c>
      <c r="D7" s="352" t="s">
        <v>6</v>
      </c>
      <c r="E7" s="352" t="s">
        <v>7</v>
      </c>
      <c r="F7" s="353" t="s">
        <v>673</v>
      </c>
      <c r="G7" s="353"/>
      <c r="H7" s="353"/>
      <c r="I7" s="353" t="s">
        <v>378</v>
      </c>
      <c r="J7" s="352" t="s">
        <v>374</v>
      </c>
      <c r="K7" s="352" t="s">
        <v>177</v>
      </c>
    </row>
    <row r="8" spans="1:11" ht="15.75" x14ac:dyDescent="0.25">
      <c r="B8" s="352"/>
      <c r="C8" s="353"/>
      <c r="D8" s="352"/>
      <c r="E8" s="352"/>
      <c r="F8" s="99" t="s">
        <v>375</v>
      </c>
      <c r="G8" s="99" t="s">
        <v>391</v>
      </c>
      <c r="H8" s="99" t="s">
        <v>187</v>
      </c>
      <c r="I8" s="353"/>
      <c r="J8" s="352"/>
      <c r="K8" s="352"/>
    </row>
    <row r="9" spans="1:11" s="91" customFormat="1" ht="18.75" x14ac:dyDescent="0.25">
      <c r="A9" s="246"/>
      <c r="B9" s="90">
        <f>CCU!B6</f>
        <v>1</v>
      </c>
      <c r="C9" s="93" t="str">
        <f>CCU!C6</f>
        <v>MANUTENÇÃO CORRETIVA/SERVIÇOS EVENTUAIS</v>
      </c>
      <c r="D9" s="90"/>
      <c r="E9" s="90"/>
      <c r="F9" s="90"/>
      <c r="G9" s="90"/>
      <c r="H9" s="90"/>
      <c r="I9" s="90"/>
      <c r="J9" s="230"/>
      <c r="K9" s="90"/>
    </row>
    <row r="10" spans="1:11" s="24" customFormat="1" x14ac:dyDescent="0.25">
      <c r="A10" s="247"/>
      <c r="B10" s="5" t="str">
        <f>CCU!B7</f>
        <v>1.1</v>
      </c>
      <c r="C10" s="94" t="str">
        <f>CCU!C7</f>
        <v>Intervenções civis</v>
      </c>
      <c r="D10" s="5"/>
      <c r="E10" s="5"/>
      <c r="F10" s="5"/>
      <c r="G10" s="5"/>
      <c r="H10" s="5"/>
      <c r="I10" s="12"/>
      <c r="J10" s="5"/>
      <c r="K10" s="12"/>
    </row>
    <row r="11" spans="1:11" s="24" customFormat="1" x14ac:dyDescent="0.25">
      <c r="A11" s="247"/>
      <c r="B11" s="7" t="str">
        <f>CCU!B8</f>
        <v>1.1.3</v>
      </c>
      <c r="C11" s="95" t="str">
        <f>CCU!C8</f>
        <v>Reparo/Reforço Estrutural</v>
      </c>
      <c r="D11" s="7"/>
      <c r="E11" s="13"/>
      <c r="F11" s="13"/>
      <c r="G11" s="13"/>
      <c r="H11" s="13"/>
      <c r="I11" s="13"/>
      <c r="J11" s="63"/>
      <c r="K11" s="63"/>
    </row>
    <row r="12" spans="1:11" s="85" customFormat="1" x14ac:dyDescent="0.25">
      <c r="A12" s="248"/>
      <c r="B12" s="49" t="str">
        <f>CCU!B9</f>
        <v>1.1.3.1</v>
      </c>
      <c r="C12" s="86" t="str">
        <f>CCU!C9</f>
        <v>Reparo/reforço estrutural com groute</v>
      </c>
      <c r="D12" s="125" t="str">
        <f>CCU!G9</f>
        <v>m³</v>
      </c>
      <c r="E12" s="126">
        <v>0.1</v>
      </c>
      <c r="F12" s="126">
        <f>CCU!G14</f>
        <v>270.8</v>
      </c>
      <c r="G12" s="126">
        <f>CCU!G17</f>
        <v>2603</v>
      </c>
      <c r="H12" s="127">
        <f>F12+G12</f>
        <v>2873.8</v>
      </c>
      <c r="I12" s="126">
        <f>H12*E12</f>
        <v>287.38000000000005</v>
      </c>
      <c r="J12" s="49" t="str">
        <f>CCU!E9</f>
        <v>CONTRATO 71/2013-27.3.4</v>
      </c>
      <c r="K12" s="126" t="s">
        <v>1084</v>
      </c>
    </row>
    <row r="13" spans="1:11" s="24" customFormat="1" x14ac:dyDescent="0.25">
      <c r="A13" s="247"/>
      <c r="B13" s="7" t="str">
        <f>CCU!B20</f>
        <v>1.1.4</v>
      </c>
      <c r="C13" s="95" t="str">
        <f>CCU!C20</f>
        <v>Furos</v>
      </c>
      <c r="D13" s="7"/>
      <c r="E13" s="7"/>
      <c r="F13" s="7"/>
      <c r="G13" s="7"/>
      <c r="H13" s="13"/>
      <c r="I13" s="13"/>
      <c r="J13" s="63"/>
      <c r="K13" s="63"/>
    </row>
    <row r="14" spans="1:11" s="85" customFormat="1" x14ac:dyDescent="0.25">
      <c r="A14" s="248"/>
      <c r="B14" s="49" t="str">
        <f>CCU!B21</f>
        <v>1.1.4.1</v>
      </c>
      <c r="C14" s="86" t="str">
        <f>CCU!C21</f>
        <v xml:space="preserve">Furos em elementos estruturais </v>
      </c>
      <c r="D14" s="125" t="str">
        <f>CCU!G21</f>
        <v>unid</v>
      </c>
      <c r="E14" s="126">
        <v>1</v>
      </c>
      <c r="F14" s="126">
        <f>CCU!G25</f>
        <v>350</v>
      </c>
      <c r="G14" s="126"/>
      <c r="H14" s="127">
        <f>F14+G14</f>
        <v>350</v>
      </c>
      <c r="I14" s="126">
        <f t="shared" ref="I14:I22" si="0">H14*E14</f>
        <v>350</v>
      </c>
      <c r="J14" s="80" t="str">
        <f>CCU!E21</f>
        <v xml:space="preserve"> COMP. PRÓPRIA </v>
      </c>
      <c r="K14" s="237" t="s">
        <v>1084</v>
      </c>
    </row>
    <row r="15" spans="1:11" s="24" customFormat="1" x14ac:dyDescent="0.25">
      <c r="A15" s="247"/>
      <c r="B15" s="7" t="str">
        <f>CCU!B28</f>
        <v>1.1.5</v>
      </c>
      <c r="C15" s="95" t="str">
        <f>CCU!C28</f>
        <v>Alvenaria</v>
      </c>
      <c r="D15" s="7"/>
      <c r="E15" s="7"/>
      <c r="F15" s="7"/>
      <c r="G15" s="7"/>
      <c r="H15" s="13"/>
      <c r="I15" s="13"/>
      <c r="J15" s="63"/>
      <c r="K15" s="63"/>
    </row>
    <row r="16" spans="1:11" s="85" customFormat="1" x14ac:dyDescent="0.25">
      <c r="A16" s="248"/>
      <c r="B16" s="6" t="str">
        <f>CCU!B29</f>
        <v>1.1.5.1</v>
      </c>
      <c r="C16" s="96" t="str">
        <f>CCU!C29</f>
        <v>Tijolo Cerâmico</v>
      </c>
      <c r="D16" s="125"/>
      <c r="E16" s="126"/>
      <c r="F16" s="126"/>
      <c r="G16" s="126"/>
      <c r="H16" s="127"/>
      <c r="I16" s="126"/>
      <c r="J16" s="80"/>
      <c r="K16" s="237"/>
    </row>
    <row r="17" spans="1:11" s="85" customFormat="1" x14ac:dyDescent="0.25">
      <c r="A17" s="248"/>
      <c r="B17" s="49" t="str">
        <f>CCU!B30</f>
        <v>1.1.5.1.1</v>
      </c>
      <c r="C17" s="86" t="str">
        <f>CCU!C30</f>
        <v xml:space="preserve">Alvenaria de vedação de blocos cerâmicos furados 9x19x19cm </v>
      </c>
      <c r="D17" s="125" t="str">
        <f>CCU!G30</f>
        <v>m²</v>
      </c>
      <c r="E17" s="126">
        <v>1</v>
      </c>
      <c r="F17" s="126">
        <f>CCU!G35</f>
        <v>40.887650000000001</v>
      </c>
      <c r="G17" s="126">
        <f>CCU!G41</f>
        <v>19.758518000000002</v>
      </c>
      <c r="H17" s="127">
        <f>F17+G17</f>
        <v>60.646168000000003</v>
      </c>
      <c r="I17" s="126">
        <f>H17*E17</f>
        <v>60.646168000000003</v>
      </c>
      <c r="J17" s="80" t="str">
        <f>CCU!E30</f>
        <v>SINAPI.87504</v>
      </c>
      <c r="K17" s="237" t="s">
        <v>1084</v>
      </c>
    </row>
    <row r="18" spans="1:11" s="24" customFormat="1" x14ac:dyDescent="0.25">
      <c r="A18" s="247"/>
      <c r="B18" s="7" t="str">
        <f>CCU!B44</f>
        <v>1.1.6</v>
      </c>
      <c r="C18" s="95" t="str">
        <f>CCU!C44</f>
        <v>Máquinas/Equipamentos</v>
      </c>
      <c r="D18" s="7"/>
      <c r="E18" s="7"/>
      <c r="F18" s="7"/>
      <c r="G18" s="7"/>
      <c r="H18" s="13"/>
      <c r="I18" s="13"/>
      <c r="J18" s="63"/>
      <c r="K18" s="63"/>
    </row>
    <row r="19" spans="1:11" s="85" customFormat="1" ht="30" x14ac:dyDescent="0.25">
      <c r="A19" s="248"/>
      <c r="B19" s="128" t="str">
        <f>CCU!B45</f>
        <v>1.1.6.1</v>
      </c>
      <c r="C19" s="86" t="str">
        <f>CCU!C45</f>
        <v>Locação até 15 dias de andaime tubular tipo torre, incluso transporte horizontal, montagem e desmontagem</v>
      </c>
      <c r="D19" s="125" t="str">
        <f>CCU!G45</f>
        <v>m</v>
      </c>
      <c r="E19" s="126">
        <v>8</v>
      </c>
      <c r="F19" s="126">
        <f>CCU!G51</f>
        <v>14.552</v>
      </c>
      <c r="G19" s="126">
        <f>CCU!G57</f>
        <v>58.495199999999997</v>
      </c>
      <c r="H19" s="127">
        <f>F19+G19</f>
        <v>73.047200000000004</v>
      </c>
      <c r="I19" s="126">
        <f t="shared" si="0"/>
        <v>584.37760000000003</v>
      </c>
      <c r="J19" s="128" t="str">
        <f>CCU!E45</f>
        <v xml:space="preserve"> COMP. PRÓPRIA </v>
      </c>
      <c r="K19" s="237" t="s">
        <v>1084</v>
      </c>
    </row>
    <row r="20" spans="1:11" s="24" customFormat="1" x14ac:dyDescent="0.25">
      <c r="A20" s="247"/>
      <c r="B20" s="7" t="str">
        <f>CCU!B60</f>
        <v>1.1.7</v>
      </c>
      <c r="C20" s="95" t="str">
        <f>CCU!C60</f>
        <v>Limpeza/Proteções</v>
      </c>
      <c r="D20" s="7"/>
      <c r="E20" s="7"/>
      <c r="F20" s="7"/>
      <c r="G20" s="7"/>
      <c r="H20" s="13"/>
      <c r="I20" s="13"/>
      <c r="J20" s="63"/>
      <c r="K20" s="63"/>
    </row>
    <row r="21" spans="1:11" s="85" customFormat="1" ht="30" x14ac:dyDescent="0.25">
      <c r="A21" s="248"/>
      <c r="B21" s="49" t="str">
        <f>CCU!B61</f>
        <v>1.1.7.1</v>
      </c>
      <c r="C21" s="86" t="str">
        <f>CCU!C61</f>
        <v>Carga e descarga de entulho com saco de 50l, com distância até 30km, incluso transporte vertical/horizontal</v>
      </c>
      <c r="D21" s="125" t="str">
        <f>CCU!G61</f>
        <v>m³</v>
      </c>
      <c r="E21" s="126">
        <v>1</v>
      </c>
      <c r="F21" s="126">
        <f>CCU!G65</f>
        <v>19.452000000000002</v>
      </c>
      <c r="G21" s="126">
        <f>CCU!G70</f>
        <v>215.89150000000001</v>
      </c>
      <c r="H21" s="127">
        <f>F21+G21</f>
        <v>235.34350000000001</v>
      </c>
      <c r="I21" s="126">
        <f t="shared" si="0"/>
        <v>235.34350000000001</v>
      </c>
      <c r="J21" s="49" t="str">
        <f>CCU!E61</f>
        <v xml:space="preserve"> COMP. PRÓPRIA </v>
      </c>
      <c r="K21" s="237" t="s">
        <v>1084</v>
      </c>
    </row>
    <row r="22" spans="1:11" s="85" customFormat="1" x14ac:dyDescent="0.25">
      <c r="A22" s="248"/>
      <c r="B22" s="49" t="str">
        <f>CCU!B73</f>
        <v>1.1.7.2</v>
      </c>
      <c r="C22" s="86" t="str">
        <f>CCU!C73</f>
        <v>Lona plástica preta para proteção</v>
      </c>
      <c r="D22" s="125" t="str">
        <f>CCU!G73</f>
        <v>m²</v>
      </c>
      <c r="E22" s="126">
        <v>10</v>
      </c>
      <c r="F22" s="126">
        <f>CCU!G78</f>
        <v>8.1240000000000006</v>
      </c>
      <c r="G22" s="126">
        <f>CCU!G81</f>
        <v>1.0710000000000002</v>
      </c>
      <c r="H22" s="127">
        <f>F22+G22</f>
        <v>9.1950000000000003</v>
      </c>
      <c r="I22" s="126">
        <f t="shared" si="0"/>
        <v>91.95</v>
      </c>
      <c r="J22" s="49" t="str">
        <f>CCU!E73</f>
        <v>SEINFRA.C1631</v>
      </c>
      <c r="K22" s="237" t="s">
        <v>1085</v>
      </c>
    </row>
    <row r="23" spans="1:11" s="24" customFormat="1" x14ac:dyDescent="0.25">
      <c r="A23" s="247"/>
      <c r="B23" s="5" t="str">
        <f>CCU!B84</f>
        <v>1.2</v>
      </c>
      <c r="C23" s="94" t="str">
        <f>CCU!C84</f>
        <v>Acabamento Internos</v>
      </c>
      <c r="D23" s="5"/>
      <c r="E23" s="5"/>
      <c r="F23" s="5"/>
      <c r="G23" s="5"/>
      <c r="H23" s="12"/>
      <c r="I23" s="12"/>
      <c r="J23" s="5"/>
      <c r="K23" s="12"/>
    </row>
    <row r="24" spans="1:11" s="24" customFormat="1" x14ac:dyDescent="0.25">
      <c r="A24" s="247"/>
      <c r="B24" s="7" t="str">
        <f>CCU!B85</f>
        <v>1.2.1</v>
      </c>
      <c r="C24" s="95" t="str">
        <f>CCU!C85</f>
        <v>Pisos, rodapés, soleiras e peitoris</v>
      </c>
      <c r="D24" s="7"/>
      <c r="E24" s="7"/>
      <c r="F24" s="7"/>
      <c r="G24" s="7"/>
      <c r="H24" s="13"/>
      <c r="I24" s="13"/>
      <c r="J24" s="7"/>
      <c r="K24" s="13"/>
    </row>
    <row r="25" spans="1:11" s="85" customFormat="1" x14ac:dyDescent="0.25">
      <c r="A25" s="248"/>
      <c r="B25" s="6" t="str">
        <f>CCU!B86</f>
        <v>1.2.1.1</v>
      </c>
      <c r="C25" s="96" t="str">
        <f>CCU!C86</f>
        <v>Cerâmica/Porcelanato</v>
      </c>
      <c r="D25" s="9"/>
      <c r="E25" s="126"/>
      <c r="F25" s="126"/>
      <c r="G25" s="126"/>
      <c r="H25" s="14"/>
      <c r="I25" s="15"/>
      <c r="J25" s="49"/>
      <c r="K25" s="15"/>
    </row>
    <row r="26" spans="1:11" s="85" customFormat="1" x14ac:dyDescent="0.25">
      <c r="A26" s="248"/>
      <c r="B26" s="49" t="str">
        <f>CCU!B87</f>
        <v>1.2.1.1.1</v>
      </c>
      <c r="C26" s="86" t="str">
        <f>CCU!C87</f>
        <v>Substituição de piso cerâmico/porcelanato existente, incluso rodapé</v>
      </c>
      <c r="D26" s="125" t="str">
        <f>CCU!G87</f>
        <v xml:space="preserve"> m² </v>
      </c>
      <c r="E26" s="126">
        <v>1</v>
      </c>
      <c r="F26" s="126">
        <f>CCU!G92</f>
        <v>35.040711999999999</v>
      </c>
      <c r="G26" s="126">
        <f>CCU!G97</f>
        <v>208.78882377622384</v>
      </c>
      <c r="H26" s="127">
        <f>F26+G26</f>
        <v>243.82953577622385</v>
      </c>
      <c r="I26" s="126">
        <f t="shared" ref="I26:I32" si="1">H26*E26</f>
        <v>243.82953577622385</v>
      </c>
      <c r="J26" s="49" t="str">
        <f>CCU!E87</f>
        <v xml:space="preserve"> COMP. PRÓPRIA </v>
      </c>
      <c r="K26" s="237" t="s">
        <v>1084</v>
      </c>
    </row>
    <row r="27" spans="1:11" s="85" customFormat="1" x14ac:dyDescent="0.25">
      <c r="A27" s="248"/>
      <c r="B27" s="49" t="str">
        <f>CCU!B100</f>
        <v>1.2.1.1.2</v>
      </c>
      <c r="C27" s="86" t="str">
        <f>CCU!C100</f>
        <v>Substituição de cerâmica existente (sem fornecimento da cerâmica), incluso rodapé</v>
      </c>
      <c r="D27" s="125" t="str">
        <f>CCU!G100</f>
        <v xml:space="preserve"> m² </v>
      </c>
      <c r="E27" s="126">
        <f>1*3</f>
        <v>3</v>
      </c>
      <c r="F27" s="126">
        <f>CCU!G105</f>
        <v>29.891212000000003</v>
      </c>
      <c r="G27" s="126">
        <f>CCU!G109</f>
        <v>2.6454999999999997</v>
      </c>
      <c r="H27" s="127">
        <f>F27+G27</f>
        <v>32.536712000000001</v>
      </c>
      <c r="I27" s="126">
        <f t="shared" si="1"/>
        <v>97.610136000000011</v>
      </c>
      <c r="J27" s="49" t="str">
        <f>CCU!E100</f>
        <v xml:space="preserve"> COMP. PRÓPRIA </v>
      </c>
      <c r="K27" s="237" t="s">
        <v>1084</v>
      </c>
    </row>
    <row r="28" spans="1:11" s="85" customFormat="1" x14ac:dyDescent="0.25">
      <c r="A28" s="248"/>
      <c r="B28" s="6" t="str">
        <f>CCU!B138</f>
        <v>1.2.1.3</v>
      </c>
      <c r="C28" s="96" t="str">
        <f>CCU!C138</f>
        <v>Madeira</v>
      </c>
      <c r="D28" s="125"/>
      <c r="E28" s="126"/>
      <c r="F28" s="126"/>
      <c r="G28" s="126"/>
      <c r="H28" s="127"/>
      <c r="I28" s="126"/>
      <c r="J28" s="49"/>
      <c r="K28" s="126"/>
    </row>
    <row r="29" spans="1:11" s="85" customFormat="1" x14ac:dyDescent="0.25">
      <c r="A29" s="248"/>
      <c r="B29" s="49" t="str">
        <f>CCU!B139</f>
        <v>1.2.1.3.3</v>
      </c>
      <c r="C29" s="86" t="str">
        <f>CCU!C139</f>
        <v>Substituição de rodapé em madeira, altura 7cm, fixado com cola</v>
      </c>
      <c r="D29" s="125" t="str">
        <f>CCU!G139</f>
        <v xml:space="preserve"> m</v>
      </c>
      <c r="E29" s="126">
        <v>2</v>
      </c>
      <c r="F29" s="126">
        <f>CCU!G144</f>
        <v>7.8533589999999993</v>
      </c>
      <c r="G29" s="126">
        <f>CCU!G148</f>
        <v>5.9665999999999997</v>
      </c>
      <c r="H29" s="127">
        <f>F29+G29</f>
        <v>13.819958999999999</v>
      </c>
      <c r="I29" s="126">
        <f t="shared" si="1"/>
        <v>27.639917999999998</v>
      </c>
      <c r="J29" s="80" t="str">
        <f>CCU!E139</f>
        <v xml:space="preserve"> COMP. PRÓPRIA </v>
      </c>
      <c r="K29" s="237" t="s">
        <v>1084</v>
      </c>
    </row>
    <row r="30" spans="1:11" s="85" customFormat="1" x14ac:dyDescent="0.25">
      <c r="A30" s="248"/>
      <c r="B30" s="49" t="str">
        <f>CCU!B151</f>
        <v>1.2.1.3.4</v>
      </c>
      <c r="C30" s="86" t="str">
        <f>CCU!C151</f>
        <v>Reinstalação de piso flutuante de madeira, com reaproveitamento de material</v>
      </c>
      <c r="D30" s="125" t="str">
        <f>CCU!G151</f>
        <v xml:space="preserve"> m² </v>
      </c>
      <c r="E30" s="126">
        <v>5</v>
      </c>
      <c r="F30" s="126">
        <f>CCU!G156</f>
        <v>18.795000000000002</v>
      </c>
      <c r="G30" s="126">
        <f>CCU!G159</f>
        <v>5.6950000000000003</v>
      </c>
      <c r="H30" s="127">
        <f>F30+G30</f>
        <v>24.490000000000002</v>
      </c>
      <c r="I30" s="126">
        <f t="shared" si="1"/>
        <v>122.45000000000002</v>
      </c>
      <c r="J30" s="49" t="str">
        <f>CCU!E151</f>
        <v xml:space="preserve"> COMP. PRÓPRIA </v>
      </c>
      <c r="K30" s="237" t="s">
        <v>1084</v>
      </c>
    </row>
    <row r="31" spans="1:11" s="85" customFormat="1" x14ac:dyDescent="0.25">
      <c r="A31" s="248"/>
      <c r="B31" s="6" t="str">
        <f>CCU!B162</f>
        <v>1.2.1.5</v>
      </c>
      <c r="C31" s="96" t="str">
        <f>CCU!C162</f>
        <v>Carpete</v>
      </c>
      <c r="D31" s="125"/>
      <c r="E31" s="126"/>
      <c r="F31" s="126"/>
      <c r="G31" s="126"/>
      <c r="H31" s="127"/>
      <c r="I31" s="126"/>
      <c r="J31" s="49"/>
      <c r="K31" s="126"/>
    </row>
    <row r="32" spans="1:11" s="85" customFormat="1" x14ac:dyDescent="0.25">
      <c r="A32" s="248"/>
      <c r="B32" s="49" t="str">
        <f>CCU!B163</f>
        <v>1.2.1.5.1</v>
      </c>
      <c r="C32" s="86" t="str">
        <f>CCU!C163</f>
        <v xml:space="preserve">Substituição de piso em carpete </v>
      </c>
      <c r="D32" s="125" t="str">
        <f>CCU!G163</f>
        <v xml:space="preserve"> m² </v>
      </c>
      <c r="E32" s="126">
        <v>2</v>
      </c>
      <c r="F32" s="126">
        <f>CCU!G167</f>
        <v>54.644808743169399</v>
      </c>
      <c r="G32" s="126">
        <f>CCU!G170</f>
        <v>136.99</v>
      </c>
      <c r="H32" s="127">
        <f>F32+G32</f>
        <v>191.6348087431694</v>
      </c>
      <c r="I32" s="126">
        <f t="shared" si="1"/>
        <v>383.2696174863388</v>
      </c>
      <c r="J32" s="49" t="str">
        <f>CCU!E163</f>
        <v xml:space="preserve"> COMP. PRÓPRIA </v>
      </c>
      <c r="K32" s="237" t="s">
        <v>1084</v>
      </c>
    </row>
    <row r="33" spans="1:11" s="24" customFormat="1" x14ac:dyDescent="0.25">
      <c r="A33" s="247"/>
      <c r="B33" s="7" t="str">
        <f>CCU!B173</f>
        <v>1.2.2</v>
      </c>
      <c r="C33" s="95" t="str">
        <f>CCU!C173</f>
        <v>Revestimento de paredes/divisórias/cortinas/persianas</v>
      </c>
      <c r="D33" s="7"/>
      <c r="E33" s="7"/>
      <c r="F33" s="7"/>
      <c r="G33" s="7"/>
      <c r="H33" s="7"/>
      <c r="I33" s="13"/>
      <c r="J33" s="7"/>
      <c r="K33" s="13"/>
    </row>
    <row r="34" spans="1:11" s="24" customFormat="1" x14ac:dyDescent="0.25">
      <c r="A34" s="247"/>
      <c r="B34" s="6" t="str">
        <f>CCU!B174</f>
        <v>1.2.2.1</v>
      </c>
      <c r="C34" s="96" t="str">
        <f>CCU!C174</f>
        <v>Argamassa</v>
      </c>
      <c r="D34" s="83"/>
      <c r="E34" s="126"/>
      <c r="F34" s="126"/>
      <c r="G34" s="126"/>
      <c r="H34" s="14"/>
      <c r="I34" s="15"/>
      <c r="J34" s="49"/>
      <c r="K34" s="15"/>
    </row>
    <row r="35" spans="1:11" s="85" customFormat="1" x14ac:dyDescent="0.25">
      <c r="A35" s="248"/>
      <c r="B35" s="6" t="str">
        <f>CCU!B175</f>
        <v>1.2.2.1.1</v>
      </c>
      <c r="C35" s="96" t="str">
        <f>CCU!C175</f>
        <v>Chapisco</v>
      </c>
      <c r="D35" s="9"/>
      <c r="E35" s="126"/>
      <c r="F35" s="126"/>
      <c r="G35" s="126"/>
      <c r="H35" s="127"/>
      <c r="I35" s="126"/>
      <c r="J35" s="49"/>
      <c r="K35" s="126"/>
    </row>
    <row r="36" spans="1:11" s="85" customFormat="1" x14ac:dyDescent="0.25">
      <c r="A36" s="248"/>
      <c r="B36" s="49" t="str">
        <f>CCU!B176</f>
        <v>1.2.2.1.1.1</v>
      </c>
      <c r="C36" s="86" t="str">
        <f>CCU!C176</f>
        <v xml:space="preserve">Chapisco em argamassa industrializada,  aplicado em alvenaria e estruturas de concreto </v>
      </c>
      <c r="D36" s="125" t="str">
        <f>CCU!G176</f>
        <v>m²</v>
      </c>
      <c r="E36" s="126">
        <f>E17*2</f>
        <v>2</v>
      </c>
      <c r="F36" s="126">
        <f>CCU!G181</f>
        <v>0.98116199999999998</v>
      </c>
      <c r="G36" s="126">
        <f>CCU!G184</f>
        <v>5.105715</v>
      </c>
      <c r="H36" s="127">
        <f>F36+G36</f>
        <v>6.0868770000000003</v>
      </c>
      <c r="I36" s="126">
        <f t="shared" ref="I36:I48" si="2">H36*E36</f>
        <v>12.173754000000001</v>
      </c>
      <c r="J36" s="80" t="str">
        <f>CCU!E176</f>
        <v>SINAPI.87876</v>
      </c>
      <c r="K36" s="237" t="s">
        <v>1084</v>
      </c>
    </row>
    <row r="37" spans="1:11" s="85" customFormat="1" x14ac:dyDescent="0.25">
      <c r="A37" s="248"/>
      <c r="B37" s="6" t="str">
        <f>CCU!B187</f>
        <v>1.2.2.1.2</v>
      </c>
      <c r="C37" s="96" t="str">
        <f>CCU!C187</f>
        <v>Reboco/Emboço/Massa Única</v>
      </c>
      <c r="D37" s="125"/>
      <c r="E37" s="126"/>
      <c r="F37" s="126"/>
      <c r="G37" s="126"/>
      <c r="H37" s="127"/>
      <c r="I37" s="126"/>
      <c r="J37" s="80"/>
      <c r="K37" s="126"/>
    </row>
    <row r="38" spans="1:11" s="85" customFormat="1" x14ac:dyDescent="0.25">
      <c r="A38" s="248"/>
      <c r="B38" s="81" t="str">
        <f>CCU!B188</f>
        <v>1.2.2.1.2.1</v>
      </c>
      <c r="C38" s="86" t="str">
        <f>CCU!C188</f>
        <v>Massa única em paredes internas, com argamassa industrializada esp.20mm</v>
      </c>
      <c r="D38" s="125" t="str">
        <f>CCU!G188</f>
        <v>m²</v>
      </c>
      <c r="E38" s="126">
        <f>E17*2</f>
        <v>2</v>
      </c>
      <c r="F38" s="126">
        <f>CCU!G193</f>
        <v>10.207329999999999</v>
      </c>
      <c r="G38" s="126">
        <f>CCU!G196</f>
        <v>26.015440000000002</v>
      </c>
      <c r="H38" s="127">
        <f>F38+G38</f>
        <v>36.222769999999997</v>
      </c>
      <c r="I38" s="126">
        <f t="shared" si="2"/>
        <v>72.445539999999994</v>
      </c>
      <c r="J38" s="80" t="str">
        <f>CCU!E188</f>
        <v>SINAPI.87538</v>
      </c>
      <c r="K38" s="237" t="s">
        <v>1084</v>
      </c>
    </row>
    <row r="39" spans="1:11" s="24" customFormat="1" x14ac:dyDescent="0.25">
      <c r="A39" s="247"/>
      <c r="B39" s="6" t="str">
        <f>CCU!B199</f>
        <v>1.2.2.3</v>
      </c>
      <c r="C39" s="96" t="str">
        <f>CCU!C199</f>
        <v>Cerâmica/Porcelanato</v>
      </c>
      <c r="D39" s="125"/>
      <c r="E39" s="126"/>
      <c r="F39" s="126"/>
      <c r="G39" s="126"/>
      <c r="H39" s="127"/>
      <c r="I39" s="126"/>
      <c r="J39" s="80"/>
      <c r="K39" s="126"/>
    </row>
    <row r="40" spans="1:11" s="24" customFormat="1" x14ac:dyDescent="0.25">
      <c r="A40" s="247"/>
      <c r="B40" s="49" t="str">
        <f>CCU!B200</f>
        <v>1.2.2.3.1</v>
      </c>
      <c r="C40" s="86" t="str">
        <f>CCU!C200</f>
        <v>Substituição de revestimento em cerâmica/porcelanato existente</v>
      </c>
      <c r="D40" s="125" t="str">
        <f>CCU!G200</f>
        <v>m²</v>
      </c>
      <c r="E40" s="126">
        <v>1</v>
      </c>
      <c r="F40" s="126">
        <f>CCU!G205</f>
        <v>43.815111999999999</v>
      </c>
      <c r="G40" s="126">
        <f>CCU!G210</f>
        <v>203.54288881118885</v>
      </c>
      <c r="H40" s="127">
        <f>F40+G40</f>
        <v>247.35800081118884</v>
      </c>
      <c r="I40" s="126">
        <f t="shared" si="2"/>
        <v>247.35800081118884</v>
      </c>
      <c r="J40" s="80" t="str">
        <f>CCU!E200</f>
        <v xml:space="preserve"> COMP. PRÓPRIA </v>
      </c>
      <c r="K40" s="237" t="s">
        <v>1084</v>
      </c>
    </row>
    <row r="41" spans="1:11" s="24" customFormat="1" x14ac:dyDescent="0.25">
      <c r="A41" s="247"/>
      <c r="B41" s="6" t="str">
        <f>CCU!B213</f>
        <v>1.2.2.4</v>
      </c>
      <c r="C41" s="96" t="str">
        <f>CCU!C213</f>
        <v>Divisórias</v>
      </c>
      <c r="D41" s="125"/>
      <c r="E41" s="126"/>
      <c r="F41" s="126"/>
      <c r="G41" s="126"/>
      <c r="H41" s="127"/>
      <c r="I41" s="126"/>
      <c r="J41" s="80"/>
      <c r="K41" s="126"/>
    </row>
    <row r="42" spans="1:11" s="85" customFormat="1" x14ac:dyDescent="0.25">
      <c r="A42" s="248"/>
      <c r="B42" s="6" t="str">
        <f>CCU!B214</f>
        <v>1.2.2.4.2</v>
      </c>
      <c r="C42" s="96" t="str">
        <f>CCU!C214</f>
        <v>Modulares</v>
      </c>
      <c r="D42" s="125"/>
      <c r="E42" s="126"/>
      <c r="F42" s="126"/>
      <c r="G42" s="126"/>
      <c r="H42" s="127"/>
      <c r="I42" s="126"/>
      <c r="J42" s="80"/>
      <c r="K42" s="126"/>
    </row>
    <row r="43" spans="1:11" s="85" customFormat="1" x14ac:dyDescent="0.25">
      <c r="A43" s="248"/>
      <c r="B43" s="49" t="str">
        <f>CCU!B215</f>
        <v>1.2.2.4.2.1</v>
      </c>
      <c r="C43" s="86" t="str">
        <f>CCU!C215</f>
        <v>Substituição de micropersianas em divisórias modulares</v>
      </c>
      <c r="D43" s="125" t="str">
        <f>CCU!G215</f>
        <v>m²</v>
      </c>
      <c r="E43" s="126">
        <v>2</v>
      </c>
      <c r="F43" s="126">
        <f>CCU!G219</f>
        <v>121.34300595238096</v>
      </c>
      <c r="G43" s="126">
        <f>CCU!G222</f>
        <v>80.895337301587318</v>
      </c>
      <c r="H43" s="127">
        <f>F43+G43</f>
        <v>202.23834325396828</v>
      </c>
      <c r="I43" s="126">
        <f t="shared" si="2"/>
        <v>404.47668650793656</v>
      </c>
      <c r="J43" s="80" t="str">
        <f>CCU!E215</f>
        <v xml:space="preserve"> COMP. PRÓPRIA </v>
      </c>
      <c r="K43" s="237" t="s">
        <v>1084</v>
      </c>
    </row>
    <row r="44" spans="1:11" s="85" customFormat="1" x14ac:dyDescent="0.25">
      <c r="A44" s="248"/>
      <c r="B44" s="49" t="str">
        <f>CCU!B225</f>
        <v>1.2.2.4.2.2</v>
      </c>
      <c r="C44" s="86" t="str">
        <f>CCU!C225</f>
        <v>Painel cego de divisória acustica</v>
      </c>
      <c r="D44" s="125" t="str">
        <f>CCU!G225</f>
        <v>m²</v>
      </c>
      <c r="E44" s="126">
        <v>1</v>
      </c>
      <c r="F44" s="126">
        <f>CCU!G229</f>
        <v>204.48820805907386</v>
      </c>
      <c r="G44" s="126">
        <f>CCU!G232</f>
        <v>136.32547203938256</v>
      </c>
      <c r="H44" s="127">
        <f>F44+G44</f>
        <v>340.81368009845642</v>
      </c>
      <c r="I44" s="126">
        <f t="shared" si="2"/>
        <v>340.81368009845642</v>
      </c>
      <c r="J44" s="80" t="str">
        <f>CCU!E225</f>
        <v xml:space="preserve"> COMP. PRÓPRIA </v>
      </c>
      <c r="K44" s="237" t="s">
        <v>1084</v>
      </c>
    </row>
    <row r="45" spans="1:11" s="85" customFormat="1" x14ac:dyDescent="0.25">
      <c r="A45" s="248"/>
      <c r="B45" s="49" t="str">
        <f>CCU!B235</f>
        <v>1.2.2.4.2.3</v>
      </c>
      <c r="C45" s="86" t="str">
        <f>CCU!C235</f>
        <v>Vidro laminado incolor 6mm ( 3+3mm)</v>
      </c>
      <c r="D45" s="125" t="str">
        <f>CCU!G235</f>
        <v>m²</v>
      </c>
      <c r="E45" s="126">
        <v>1</v>
      </c>
      <c r="F45" s="126">
        <f>CCU!G239</f>
        <v>159.99600000000001</v>
      </c>
      <c r="G45" s="126">
        <f>CCU!G242</f>
        <v>106.66400000000002</v>
      </c>
      <c r="H45" s="127">
        <f>F45+G45</f>
        <v>266.66000000000003</v>
      </c>
      <c r="I45" s="126">
        <f t="shared" si="2"/>
        <v>266.66000000000003</v>
      </c>
      <c r="J45" s="80" t="str">
        <f>CCU!E235</f>
        <v>SINAPI.10496</v>
      </c>
      <c r="K45" s="237" t="s">
        <v>1084</v>
      </c>
    </row>
    <row r="46" spans="1:11" s="85" customFormat="1" x14ac:dyDescent="0.25">
      <c r="A46" s="248"/>
      <c r="B46" s="49" t="str">
        <f>CCU!B245</f>
        <v>1.2.2.4.2.4</v>
      </c>
      <c r="C46" s="89" t="str">
        <f>CCU!C245</f>
        <v xml:space="preserve">Substituição de porta acustica revestida em laminado melaminico </v>
      </c>
      <c r="D46" s="130" t="str">
        <f>CCU!G245</f>
        <v>unid.</v>
      </c>
      <c r="E46" s="126">
        <v>1</v>
      </c>
      <c r="F46" s="126">
        <f>CCU!G249</f>
        <v>40.239992027886373</v>
      </c>
      <c r="G46" s="126">
        <f>CCU!G252</f>
        <v>930.21252079483691</v>
      </c>
      <c r="H46" s="127">
        <f>F46+G46</f>
        <v>970.45251282272329</v>
      </c>
      <c r="I46" s="126">
        <f>H46*E46</f>
        <v>970.45251282272329</v>
      </c>
      <c r="J46" s="49" t="str">
        <f>CCU!E245</f>
        <v xml:space="preserve"> COMP. PRÓPRIA </v>
      </c>
      <c r="K46" s="237" t="s">
        <v>1084</v>
      </c>
    </row>
    <row r="47" spans="1:11" s="85" customFormat="1" x14ac:dyDescent="0.25">
      <c r="A47" s="248"/>
      <c r="B47" s="6" t="str">
        <f>CCU!B255</f>
        <v>1.2.2.6</v>
      </c>
      <c r="C47" s="96" t="str">
        <f>CCU!C255</f>
        <v>Cortinas e Persianas</v>
      </c>
      <c r="D47" s="125"/>
      <c r="E47" s="126"/>
      <c r="F47" s="126"/>
      <c r="G47" s="126"/>
      <c r="H47" s="127"/>
      <c r="I47" s="126"/>
      <c r="J47" s="80"/>
      <c r="K47" s="126"/>
    </row>
    <row r="48" spans="1:11" s="85" customFormat="1" x14ac:dyDescent="0.25">
      <c r="A48" s="248"/>
      <c r="B48" s="49" t="str">
        <f>CCU!B256</f>
        <v>1.2.2.6.1</v>
      </c>
      <c r="C48" s="86" t="str">
        <f>CCU!C256</f>
        <v xml:space="preserve">Cortina tipo rolô com Blackout/Tela Solar </v>
      </c>
      <c r="D48" s="125" t="str">
        <f>CCU!G256</f>
        <v>m²</v>
      </c>
      <c r="E48" s="126">
        <f>1.8*1.8</f>
        <v>3.24</v>
      </c>
      <c r="F48" s="126">
        <f>CCU!G260</f>
        <v>170.37037037037038</v>
      </c>
      <c r="G48" s="126">
        <f>CCU!G263</f>
        <v>255.55555555555554</v>
      </c>
      <c r="H48" s="127">
        <f>F48+G48</f>
        <v>425.92592592592592</v>
      </c>
      <c r="I48" s="126">
        <f t="shared" si="2"/>
        <v>1380</v>
      </c>
      <c r="J48" s="80" t="str">
        <f>CCU!E256</f>
        <v xml:space="preserve"> COMP. PRÓPRIA </v>
      </c>
      <c r="K48" s="237" t="s">
        <v>1084</v>
      </c>
    </row>
    <row r="49" spans="1:11" s="24" customFormat="1" x14ac:dyDescent="0.25">
      <c r="A49" s="247"/>
      <c r="B49" s="7" t="str">
        <f>CCU!B266</f>
        <v>1.2.3</v>
      </c>
      <c r="C49" s="95" t="str">
        <f>CCU!C266</f>
        <v>Teto</v>
      </c>
      <c r="D49" s="7"/>
      <c r="E49" s="7"/>
      <c r="F49" s="7"/>
      <c r="G49" s="7"/>
      <c r="H49" s="13"/>
      <c r="I49" s="13"/>
      <c r="J49" s="114"/>
      <c r="K49" s="13"/>
    </row>
    <row r="50" spans="1:11" s="85" customFormat="1" x14ac:dyDescent="0.25">
      <c r="A50" s="248"/>
      <c r="B50" s="6" t="str">
        <f>CCU!B267</f>
        <v>1.2.3.1</v>
      </c>
      <c r="C50" s="96" t="str">
        <f>CCU!C267</f>
        <v>Argamassa</v>
      </c>
      <c r="D50" s="129"/>
      <c r="E50" s="126"/>
      <c r="F50" s="126"/>
      <c r="G50" s="126"/>
      <c r="H50" s="127"/>
      <c r="I50" s="126"/>
      <c r="J50" s="80"/>
      <c r="K50" s="126"/>
    </row>
    <row r="51" spans="1:11" s="85" customFormat="1" x14ac:dyDescent="0.25">
      <c r="A51" s="248"/>
      <c r="B51" s="6" t="str">
        <f>CCU!B268</f>
        <v>1.2.3.1.1</v>
      </c>
      <c r="C51" s="96" t="str">
        <f>CCU!C268</f>
        <v>Chapisco</v>
      </c>
      <c r="D51" s="129"/>
      <c r="E51" s="126"/>
      <c r="F51" s="126"/>
      <c r="G51" s="126"/>
      <c r="H51" s="127"/>
      <c r="I51" s="126"/>
      <c r="J51" s="80"/>
      <c r="K51" s="126"/>
    </row>
    <row r="52" spans="1:11" s="85" customFormat="1" x14ac:dyDescent="0.25">
      <c r="A52" s="248"/>
      <c r="B52" s="49" t="str">
        <f>CCU!B269</f>
        <v>1.2.3.1.1.1</v>
      </c>
      <c r="C52" s="86" t="str">
        <f>CCU!C269</f>
        <v>Chapisco aplicado no teto, com argamassa industrializada</v>
      </c>
      <c r="D52" s="125" t="str">
        <f>CCU!G269</f>
        <v>m²</v>
      </c>
      <c r="E52" s="126">
        <v>1</v>
      </c>
      <c r="F52" s="126">
        <f>CCU!G274</f>
        <v>8.9706240000000008</v>
      </c>
      <c r="G52" s="126">
        <f>CCU!G277</f>
        <v>8.7216320000000014</v>
      </c>
      <c r="H52" s="127">
        <f>F52+G52</f>
        <v>17.692256</v>
      </c>
      <c r="I52" s="126">
        <f t="shared" ref="I52:I58" si="3">H52*E52</f>
        <v>17.692256</v>
      </c>
      <c r="J52" s="80" t="str">
        <f>CCU!E269</f>
        <v>SINAPI.87886</v>
      </c>
      <c r="K52" s="237" t="s">
        <v>1084</v>
      </c>
    </row>
    <row r="53" spans="1:11" s="85" customFormat="1" x14ac:dyDescent="0.25">
      <c r="A53" s="248"/>
      <c r="B53" s="6" t="str">
        <f>CCU!B280</f>
        <v>1.2.3.1.2</v>
      </c>
      <c r="C53" s="96" t="str">
        <f>CCU!C280</f>
        <v>Reboco</v>
      </c>
      <c r="D53" s="129"/>
      <c r="E53" s="126"/>
      <c r="F53" s="126"/>
      <c r="G53" s="126"/>
      <c r="H53" s="127"/>
      <c r="I53" s="126"/>
      <c r="J53" s="80"/>
      <c r="K53" s="126"/>
    </row>
    <row r="54" spans="1:11" s="85" customFormat="1" x14ac:dyDescent="0.25">
      <c r="A54" s="248"/>
      <c r="B54" s="49" t="str">
        <f>CCU!B281</f>
        <v>1.2.3.1.2.1</v>
      </c>
      <c r="C54" s="86" t="str">
        <f>CCU!C281</f>
        <v>Massa única em teto, com argamassa industrializada esp.20mm</v>
      </c>
      <c r="D54" s="125" t="str">
        <f>CCU!G281</f>
        <v>m²</v>
      </c>
      <c r="E54" s="126">
        <f>E52</f>
        <v>1</v>
      </c>
      <c r="F54" s="126">
        <f>CCU!G286</f>
        <v>10.207329999999999</v>
      </c>
      <c r="G54" s="126">
        <f>CCU!G289</f>
        <v>26.015440000000002</v>
      </c>
      <c r="H54" s="127">
        <f>F54+G54</f>
        <v>36.222769999999997</v>
      </c>
      <c r="I54" s="126">
        <f t="shared" si="3"/>
        <v>36.222769999999997</v>
      </c>
      <c r="J54" s="80" t="str">
        <f>CCU!E281</f>
        <v>SINAPI.87538</v>
      </c>
      <c r="K54" s="237" t="s">
        <v>1084</v>
      </c>
    </row>
    <row r="55" spans="1:11" s="85" customFormat="1" x14ac:dyDescent="0.25">
      <c r="A55" s="248"/>
      <c r="B55" s="6" t="str">
        <f>CCU!B292</f>
        <v>1.2.3.2</v>
      </c>
      <c r="C55" s="96" t="str">
        <f>CCU!C292</f>
        <v>Forro de gesso</v>
      </c>
      <c r="D55" s="129"/>
      <c r="E55" s="126"/>
      <c r="F55" s="126"/>
      <c r="G55" s="126"/>
      <c r="H55" s="127"/>
      <c r="I55" s="126"/>
      <c r="J55" s="80"/>
      <c r="K55" s="126"/>
    </row>
    <row r="56" spans="1:11" s="85" customFormat="1" x14ac:dyDescent="0.25">
      <c r="A56" s="248"/>
      <c r="B56" s="49" t="str">
        <f>CCU!B293</f>
        <v>1.2.3.2.1</v>
      </c>
      <c r="C56" s="86" t="str">
        <f>CCU!C293</f>
        <v>Forro em gesso acartonado, incl. Tabica</v>
      </c>
      <c r="D56" s="125" t="str">
        <f>CCU!G293</f>
        <v xml:space="preserve"> m² </v>
      </c>
      <c r="E56" s="126">
        <v>3</v>
      </c>
      <c r="F56" s="126">
        <f>CCU!G298</f>
        <v>10.985583999999999</v>
      </c>
      <c r="G56" s="126">
        <f>CCU!G309</f>
        <v>40.741912999999997</v>
      </c>
      <c r="H56" s="127">
        <f>F56+G56</f>
        <v>51.727497</v>
      </c>
      <c r="I56" s="126">
        <f t="shared" si="3"/>
        <v>155.182491</v>
      </c>
      <c r="J56" s="80" t="str">
        <f>CCU!E293</f>
        <v xml:space="preserve"> SINAPI.96114 </v>
      </c>
      <c r="K56" s="237" t="s">
        <v>1084</v>
      </c>
    </row>
    <row r="57" spans="1:11" s="85" customFormat="1" x14ac:dyDescent="0.25">
      <c r="A57" s="248"/>
      <c r="B57" s="6" t="str">
        <f>CCU!B312</f>
        <v>1.2.3.3</v>
      </c>
      <c r="C57" s="96" t="str">
        <f>CCU!C312</f>
        <v>Forros modulares</v>
      </c>
      <c r="D57" s="129"/>
      <c r="E57" s="126"/>
      <c r="F57" s="126"/>
      <c r="G57" s="126"/>
      <c r="H57" s="127"/>
      <c r="I57" s="126"/>
      <c r="J57" s="80"/>
      <c r="K57" s="126"/>
    </row>
    <row r="58" spans="1:11" s="85" customFormat="1" x14ac:dyDescent="0.25">
      <c r="A58" s="248"/>
      <c r="B58" s="49" t="str">
        <f>CCU!B313</f>
        <v>1.2.3.3.2</v>
      </c>
      <c r="C58" s="86" t="str">
        <f>CCU!C313</f>
        <v>Remanejamento de forro modular metalico perfurado, sem fornecimento</v>
      </c>
      <c r="D58" s="125" t="str">
        <f>CCU!G313</f>
        <v>m²</v>
      </c>
      <c r="E58" s="126">
        <v>10</v>
      </c>
      <c r="F58" s="126">
        <f>CCU!G318</f>
        <v>10.268853</v>
      </c>
      <c r="G58" s="126"/>
      <c r="H58" s="127">
        <f>F58+G58</f>
        <v>10.268853</v>
      </c>
      <c r="I58" s="126">
        <f t="shared" si="3"/>
        <v>102.68853</v>
      </c>
      <c r="J58" s="80" t="str">
        <f>CCU!E313</f>
        <v xml:space="preserve"> COMP. PRÓPRIA </v>
      </c>
      <c r="K58" s="237" t="s">
        <v>1084</v>
      </c>
    </row>
    <row r="59" spans="1:11" s="24" customFormat="1" x14ac:dyDescent="0.25">
      <c r="A59" s="247"/>
      <c r="B59" s="5" t="str">
        <f>CCU!B321</f>
        <v>1.3</v>
      </c>
      <c r="C59" s="94" t="str">
        <f>CCU!C321</f>
        <v>Acabamento Externos</v>
      </c>
      <c r="D59" s="5"/>
      <c r="E59" s="5"/>
      <c r="F59" s="5"/>
      <c r="G59" s="5"/>
      <c r="H59" s="12"/>
      <c r="I59" s="12"/>
      <c r="J59" s="5"/>
      <c r="K59" s="12"/>
    </row>
    <row r="60" spans="1:11" s="24" customFormat="1" x14ac:dyDescent="0.25">
      <c r="A60" s="247"/>
      <c r="B60" s="7" t="str">
        <f>CCU!B322</f>
        <v>1.3.1</v>
      </c>
      <c r="C60" s="95" t="str">
        <f>CCU!C322</f>
        <v>Pisos, pavimentações, rodapés, soleiras, peitoris</v>
      </c>
      <c r="D60" s="7"/>
      <c r="E60" s="7"/>
      <c r="F60" s="7"/>
      <c r="G60" s="7"/>
      <c r="H60" s="13"/>
      <c r="I60" s="13"/>
      <c r="J60" s="7"/>
      <c r="K60" s="13"/>
    </row>
    <row r="61" spans="1:11" s="85" customFormat="1" x14ac:dyDescent="0.25">
      <c r="A61" s="248"/>
      <c r="B61" s="6" t="str">
        <f>CCU!B323</f>
        <v>1.3.1.4</v>
      </c>
      <c r="C61" s="96" t="str">
        <f>CCU!C323</f>
        <v>Concreto/Cimentado</v>
      </c>
      <c r="D61" s="129"/>
      <c r="E61" s="126"/>
      <c r="F61" s="126"/>
      <c r="G61" s="126"/>
      <c r="H61" s="127"/>
      <c r="I61" s="126"/>
      <c r="J61" s="80"/>
      <c r="K61" s="126"/>
    </row>
    <row r="62" spans="1:11" s="85" customFormat="1" x14ac:dyDescent="0.25">
      <c r="A62" s="248"/>
      <c r="B62" s="49" t="str">
        <f>CCU!B324</f>
        <v>1.3.1.4.1</v>
      </c>
      <c r="C62" s="86" t="str">
        <f>CCU!C324</f>
        <v>Piso em concreto moldado in loco</v>
      </c>
      <c r="D62" s="125" t="str">
        <f>CCU!G324</f>
        <v xml:space="preserve"> m³</v>
      </c>
      <c r="E62" s="126">
        <v>0.5</v>
      </c>
      <c r="F62" s="126">
        <f>CCU!G330</f>
        <v>160.57677000000001</v>
      </c>
      <c r="G62" s="126">
        <f>CCU!G335</f>
        <v>392.67112000000003</v>
      </c>
      <c r="H62" s="127">
        <f>F62+G62</f>
        <v>553.2478900000001</v>
      </c>
      <c r="I62" s="126">
        <f>H62*E62</f>
        <v>276.62394500000005</v>
      </c>
      <c r="J62" s="80" t="str">
        <f>CCU!E324</f>
        <v>SINAPI.94990</v>
      </c>
      <c r="K62" s="237" t="s">
        <v>1084</v>
      </c>
    </row>
    <row r="63" spans="1:11" s="85" customFormat="1" x14ac:dyDescent="0.25">
      <c r="A63" s="248"/>
      <c r="B63" s="49" t="str">
        <f>CCU!B338</f>
        <v>1.3.1.4.2</v>
      </c>
      <c r="C63" s="86" t="str">
        <f>CCU!C338</f>
        <v>Piso cimentado rústico  traço 1:4, esp.3,5cm</v>
      </c>
      <c r="D63" s="125" t="str">
        <f>CCU!G338</f>
        <v xml:space="preserve"> m² </v>
      </c>
      <c r="E63" s="126">
        <v>5</v>
      </c>
      <c r="F63" s="126">
        <f>CCU!G343</f>
        <v>32.2575</v>
      </c>
      <c r="G63" s="126">
        <f>CCU!G346</f>
        <v>13.205500000000002</v>
      </c>
      <c r="H63" s="127">
        <f>F63+G63</f>
        <v>45.463000000000001</v>
      </c>
      <c r="I63" s="126">
        <f>H63*E63</f>
        <v>227.315</v>
      </c>
      <c r="J63" s="80" t="str">
        <f>CCU!E338</f>
        <v>SINAPI.76448/2</v>
      </c>
      <c r="K63" s="237" t="s">
        <v>1084</v>
      </c>
    </row>
    <row r="64" spans="1:11" s="24" customFormat="1" x14ac:dyDescent="0.25">
      <c r="A64" s="247"/>
      <c r="B64" s="7" t="str">
        <f>CCU!B349</f>
        <v>1.3.2</v>
      </c>
      <c r="C64" s="95" t="str">
        <f>CCU!C349</f>
        <v>Paredes/Divisórias</v>
      </c>
      <c r="D64" s="7"/>
      <c r="E64" s="7"/>
      <c r="F64" s="7"/>
      <c r="G64" s="7"/>
      <c r="H64" s="13"/>
      <c r="I64" s="13"/>
      <c r="J64" s="63"/>
      <c r="K64" s="13"/>
    </row>
    <row r="65" spans="1:11" s="24" customFormat="1" x14ac:dyDescent="0.25">
      <c r="A65" s="247"/>
      <c r="B65" s="6" t="str">
        <f>CCU!B350</f>
        <v>1.3.2.1</v>
      </c>
      <c r="C65" s="96" t="str">
        <f>CCU!C350</f>
        <v>Argamassa</v>
      </c>
      <c r="D65" s="129"/>
      <c r="E65" s="126"/>
      <c r="F65" s="126"/>
      <c r="G65" s="126"/>
      <c r="H65" s="127"/>
      <c r="I65" s="126"/>
      <c r="J65" s="115"/>
      <c r="K65" s="126"/>
    </row>
    <row r="66" spans="1:11" s="85" customFormat="1" x14ac:dyDescent="0.25">
      <c r="A66" s="248"/>
      <c r="B66" s="6" t="str">
        <f>CCU!B351</f>
        <v>1.3.2.1.1</v>
      </c>
      <c r="C66" s="96" t="str">
        <f>CCU!C351</f>
        <v>Chapisco</v>
      </c>
      <c r="D66" s="129"/>
      <c r="E66" s="126"/>
      <c r="F66" s="126"/>
      <c r="G66" s="126"/>
      <c r="H66" s="127"/>
      <c r="I66" s="126"/>
      <c r="J66" s="115"/>
      <c r="K66" s="126"/>
    </row>
    <row r="67" spans="1:11" s="85" customFormat="1" x14ac:dyDescent="0.25">
      <c r="A67" s="248"/>
      <c r="B67" s="49" t="str">
        <f>CCU!B352</f>
        <v>1.3.2.1.1.1</v>
      </c>
      <c r="C67" s="86" t="str">
        <f>CCU!C352</f>
        <v>Chapisco em fachada com argamassa industrializada</v>
      </c>
      <c r="D67" s="125" t="str">
        <f>CCU!G352</f>
        <v>m²</v>
      </c>
      <c r="E67" s="126">
        <v>10</v>
      </c>
      <c r="F67" s="126">
        <f>CCU!G357</f>
        <v>2.1705799999999997</v>
      </c>
      <c r="G67" s="126">
        <f>CCU!G360</f>
        <v>5.105715</v>
      </c>
      <c r="H67" s="127">
        <f>F67+G67</f>
        <v>7.2762949999999993</v>
      </c>
      <c r="I67" s="126">
        <f>H67*E67</f>
        <v>72.762949999999989</v>
      </c>
      <c r="J67" s="115" t="str">
        <f>CCU!E352</f>
        <v>SINAPI.87891</v>
      </c>
      <c r="K67" s="237" t="s">
        <v>1084</v>
      </c>
    </row>
    <row r="68" spans="1:11" s="85" customFormat="1" x14ac:dyDescent="0.25">
      <c r="A68" s="248"/>
      <c r="B68" s="6" t="str">
        <f>CCU!B363</f>
        <v>1.3.2.1.2</v>
      </c>
      <c r="C68" s="96" t="str">
        <f>CCU!C363</f>
        <v>Reboco/Emboço/Massa Única</v>
      </c>
      <c r="D68" s="129"/>
      <c r="E68" s="126"/>
      <c r="F68" s="126"/>
      <c r="G68" s="126"/>
      <c r="H68" s="127"/>
      <c r="I68" s="126"/>
      <c r="J68" s="115"/>
      <c r="K68" s="126"/>
    </row>
    <row r="69" spans="1:11" s="85" customFormat="1" x14ac:dyDescent="0.25">
      <c r="A69" s="248"/>
      <c r="B69" s="49" t="str">
        <f>CCU!B364</f>
        <v>1.3.2.1.2.1</v>
      </c>
      <c r="C69" s="86" t="str">
        <f>CCU!C364</f>
        <v>Massa única aplicada em fachada, com argamassa industrializada esp.35mm</v>
      </c>
      <c r="D69" s="125" t="str">
        <f>CCU!G364</f>
        <v>m²</v>
      </c>
      <c r="E69" s="126">
        <f>E67</f>
        <v>10</v>
      </c>
      <c r="F69" s="126">
        <f>CCU!G369</f>
        <v>13.282499999999999</v>
      </c>
      <c r="G69" s="126">
        <f>CCU!G373</f>
        <v>12.994173</v>
      </c>
      <c r="H69" s="127">
        <f>F69+G69</f>
        <v>26.276672999999999</v>
      </c>
      <c r="I69" s="126">
        <f>H69*E69</f>
        <v>262.76673</v>
      </c>
      <c r="J69" s="115" t="str">
        <f>CCU!E364</f>
        <v>SINAPI.87800</v>
      </c>
      <c r="K69" s="237" t="s">
        <v>1084</v>
      </c>
    </row>
    <row r="70" spans="1:11" s="87" customFormat="1" x14ac:dyDescent="0.25">
      <c r="A70" s="249"/>
      <c r="B70" s="5" t="str">
        <f>CCU!B376</f>
        <v>1.4</v>
      </c>
      <c r="C70" s="94" t="str">
        <f>CCU!C376</f>
        <v>Pinturas</v>
      </c>
      <c r="D70" s="5"/>
      <c r="E70" s="5"/>
      <c r="F70" s="5"/>
      <c r="G70" s="5"/>
      <c r="H70" s="12"/>
      <c r="I70" s="12"/>
      <c r="J70" s="5"/>
      <c r="K70" s="12"/>
    </row>
    <row r="71" spans="1:11" s="24" customFormat="1" x14ac:dyDescent="0.25">
      <c r="A71" s="247"/>
      <c r="B71" s="7" t="str">
        <f>CCU!B377</f>
        <v>1.4.1</v>
      </c>
      <c r="C71" s="95" t="str">
        <f>CCU!C377</f>
        <v>Massa/Fundo Selador</v>
      </c>
      <c r="D71" s="7"/>
      <c r="E71" s="7"/>
      <c r="F71" s="7"/>
      <c r="G71" s="7"/>
      <c r="H71" s="13"/>
      <c r="I71" s="13"/>
      <c r="J71" s="63"/>
      <c r="K71" s="13"/>
    </row>
    <row r="72" spans="1:11" s="85" customFormat="1" x14ac:dyDescent="0.25">
      <c r="A72" s="248"/>
      <c r="B72" s="49" t="str">
        <f>CCU!B378</f>
        <v>1.4.1.1</v>
      </c>
      <c r="C72" s="86" t="str">
        <f>CCU!C378</f>
        <v>Aplicação e lixamento de massa acrilica, uma demão</v>
      </c>
      <c r="D72" s="125" t="str">
        <f>CCU!G378</f>
        <v>m²</v>
      </c>
      <c r="E72" s="126">
        <v>10</v>
      </c>
      <c r="F72" s="126">
        <f>CCU!G383</f>
        <v>19.18141</v>
      </c>
      <c r="G72" s="126">
        <f>CCU!G387</f>
        <v>4.8993600000000006</v>
      </c>
      <c r="H72" s="127">
        <f>F72+G72</f>
        <v>24.080770000000001</v>
      </c>
      <c r="I72" s="126">
        <f>H72*E72</f>
        <v>240.80770000000001</v>
      </c>
      <c r="J72" s="80" t="str">
        <f>CCU!E378</f>
        <v>SINAPI.96129</v>
      </c>
      <c r="K72" s="237" t="s">
        <v>1084</v>
      </c>
    </row>
    <row r="73" spans="1:11" s="24" customFormat="1" x14ac:dyDescent="0.25">
      <c r="A73" s="247"/>
      <c r="B73" s="7" t="str">
        <f>CCU!B390</f>
        <v>1.4.2</v>
      </c>
      <c r="C73" s="95" t="str">
        <f>CCU!C390</f>
        <v>Pintura a base de cal</v>
      </c>
      <c r="D73" s="7"/>
      <c r="E73" s="7"/>
      <c r="F73" s="7"/>
      <c r="G73" s="7"/>
      <c r="H73" s="13"/>
      <c r="I73" s="13"/>
      <c r="J73" s="63"/>
      <c r="K73" s="13"/>
    </row>
    <row r="74" spans="1:11" s="85" customFormat="1" x14ac:dyDescent="0.25">
      <c r="A74" s="248"/>
      <c r="B74" s="49" t="str">
        <f>CCU!B391</f>
        <v>1.4.2.1</v>
      </c>
      <c r="C74" s="86" t="str">
        <f>CCU!C391</f>
        <v>Caiação em meio fio</v>
      </c>
      <c r="D74" s="125" t="str">
        <f>CCU!G391</f>
        <v>m²</v>
      </c>
      <c r="E74" s="126">
        <f>(0.15+0.1)*30/2</f>
        <v>3.75</v>
      </c>
      <c r="F74" s="126">
        <f>CCU!G396</f>
        <v>3.3645749999999999</v>
      </c>
      <c r="G74" s="126">
        <f>CCU!G399</f>
        <v>0.16200000000000001</v>
      </c>
      <c r="H74" s="127">
        <f>F74+G74</f>
        <v>3.5265749999999998</v>
      </c>
      <c r="I74" s="126">
        <f>H74*E74</f>
        <v>13.224656249999999</v>
      </c>
      <c r="J74" s="80" t="str">
        <f>CCU!E391</f>
        <v>SINAPI.83693</v>
      </c>
      <c r="K74" s="237" t="s">
        <v>1084</v>
      </c>
    </row>
    <row r="75" spans="1:11" s="24" customFormat="1" x14ac:dyDescent="0.25">
      <c r="A75" s="247"/>
      <c r="B75" s="7" t="str">
        <f>CCU!B402</f>
        <v>1.4.4</v>
      </c>
      <c r="C75" s="95" t="str">
        <f>CCU!C402</f>
        <v>Pintura Acrílica</v>
      </c>
      <c r="D75" s="7"/>
      <c r="E75" s="7"/>
      <c r="F75" s="7"/>
      <c r="G75" s="7"/>
      <c r="H75" s="13"/>
      <c r="I75" s="13"/>
      <c r="J75" s="114"/>
      <c r="K75" s="13"/>
    </row>
    <row r="76" spans="1:11" s="85" customFormat="1" x14ac:dyDescent="0.25">
      <c r="A76" s="248"/>
      <c r="B76" s="49" t="str">
        <f>CCU!B403</f>
        <v>1.4.4.1</v>
      </c>
      <c r="C76" s="86" t="str">
        <f>CCU!C403</f>
        <v>Pintura acrílica, duas demãos</v>
      </c>
      <c r="D76" s="125" t="str">
        <f>CCU!G403</f>
        <v>m²</v>
      </c>
      <c r="E76" s="126">
        <v>20</v>
      </c>
      <c r="F76" s="126">
        <f>CCU!G408</f>
        <v>5.1614300000000002</v>
      </c>
      <c r="G76" s="126">
        <f>CCU!G411</f>
        <v>5.9367000000000001</v>
      </c>
      <c r="H76" s="127">
        <f>F76+G76</f>
        <v>11.098130000000001</v>
      </c>
      <c r="I76" s="126">
        <f>H76*E76</f>
        <v>221.96260000000001</v>
      </c>
      <c r="J76" s="80" t="str">
        <f>CCU!E403</f>
        <v>SINAPI.88489</v>
      </c>
      <c r="K76" s="237" t="s">
        <v>1084</v>
      </c>
    </row>
    <row r="77" spans="1:11" s="85" customFormat="1" x14ac:dyDescent="0.25">
      <c r="A77" s="248"/>
      <c r="B77" s="49" t="str">
        <f>CCU!B414</f>
        <v>1.4.4.2</v>
      </c>
      <c r="C77" s="86" t="str">
        <f>CCU!C414</f>
        <v>Pintura acrílica em piso cimentado, duas demãos</v>
      </c>
      <c r="D77" s="125" t="str">
        <f>CCU!G414</f>
        <v>m²</v>
      </c>
      <c r="E77" s="126">
        <v>10</v>
      </c>
      <c r="F77" s="126">
        <f>CCU!G419</f>
        <v>11.6195</v>
      </c>
      <c r="G77" s="126">
        <f>CCU!G422</f>
        <v>2.04</v>
      </c>
      <c r="H77" s="127">
        <f>F77+G77</f>
        <v>13.659500000000001</v>
      </c>
      <c r="I77" s="126">
        <f>H77*E77</f>
        <v>136.59500000000003</v>
      </c>
      <c r="J77" s="80" t="str">
        <f>CCU!E414</f>
        <v>SINAPI.74245/1</v>
      </c>
      <c r="K77" s="237" t="s">
        <v>1084</v>
      </c>
    </row>
    <row r="78" spans="1:11" s="85" customFormat="1" x14ac:dyDescent="0.25">
      <c r="A78" s="248"/>
      <c r="B78" s="49" t="str">
        <f>CCU!B425</f>
        <v>1.4.4.3</v>
      </c>
      <c r="C78" s="86" t="str">
        <f>CCU!C425</f>
        <v>Textura acrílica em parede, uma demão</v>
      </c>
      <c r="D78" s="125" t="str">
        <f>CCU!G425</f>
        <v>m²</v>
      </c>
      <c r="E78" s="126">
        <v>10</v>
      </c>
      <c r="F78" s="126">
        <f>CCU!G430</f>
        <v>5.1830500000000006</v>
      </c>
      <c r="G78" s="126">
        <f>CCU!G433</f>
        <v>6.3155999999999999</v>
      </c>
      <c r="H78" s="127">
        <f>F78+G78</f>
        <v>11.498650000000001</v>
      </c>
      <c r="I78" s="126">
        <f>H78*E78</f>
        <v>114.98650000000001</v>
      </c>
      <c r="J78" s="80" t="str">
        <f>CCU!E425</f>
        <v>SINAPI.95305</v>
      </c>
      <c r="K78" s="237" t="s">
        <v>1084</v>
      </c>
    </row>
    <row r="79" spans="1:11" s="24" customFormat="1" x14ac:dyDescent="0.25">
      <c r="A79" s="247"/>
      <c r="B79" s="7" t="str">
        <f>CCU!B436</f>
        <v>1.4.5</v>
      </c>
      <c r="C79" s="95" t="str">
        <f>CCU!C436</f>
        <v>Pintura Esmalte/óleo</v>
      </c>
      <c r="D79" s="7"/>
      <c r="E79" s="7"/>
      <c r="F79" s="7"/>
      <c r="G79" s="7"/>
      <c r="H79" s="13"/>
      <c r="I79" s="13"/>
      <c r="J79" s="114"/>
      <c r="K79" s="13"/>
    </row>
    <row r="80" spans="1:11" s="85" customFormat="1" x14ac:dyDescent="0.25">
      <c r="A80" s="248"/>
      <c r="B80" s="49" t="str">
        <f>CCU!B437</f>
        <v>1.4.5.1</v>
      </c>
      <c r="C80" s="89" t="str">
        <f>CCU!C437</f>
        <v>Fundo anticorrosivo zarcão, uma demão</v>
      </c>
      <c r="D80" s="125" t="str">
        <f>CCU!G437</f>
        <v>m²</v>
      </c>
      <c r="E80" s="126">
        <v>5</v>
      </c>
      <c r="F80" s="126">
        <f>CCU!G442</f>
        <v>9.7279999999999998</v>
      </c>
      <c r="G80" s="126">
        <f>CCU!G445</f>
        <v>2.7012</v>
      </c>
      <c r="H80" s="127">
        <f>F80+G80</f>
        <v>12.4292</v>
      </c>
      <c r="I80" s="126">
        <f>H80*E80</f>
        <v>62.146000000000001</v>
      </c>
      <c r="J80" s="80" t="str">
        <f>CCU!E437</f>
        <v>SINAPI.74064/2</v>
      </c>
      <c r="K80" s="237" t="s">
        <v>1084</v>
      </c>
    </row>
    <row r="81" spans="1:11" s="85" customFormat="1" x14ac:dyDescent="0.25">
      <c r="A81" s="248"/>
      <c r="B81" s="49" t="str">
        <f>CCU!B448</f>
        <v>1.4.5.2</v>
      </c>
      <c r="C81" s="89" t="str">
        <f>CCU!C448</f>
        <v>Pintura esmalte, duas demãos</v>
      </c>
      <c r="D81" s="125" t="str">
        <f>CCU!G448</f>
        <v>m²</v>
      </c>
      <c r="E81" s="126">
        <v>5</v>
      </c>
      <c r="F81" s="126">
        <f>CCU!G453</f>
        <v>18.914999999999999</v>
      </c>
      <c r="G81" s="126">
        <f>CCU!G458</f>
        <v>6.3883000000000001</v>
      </c>
      <c r="H81" s="127">
        <f>F81+G81</f>
        <v>25.3033</v>
      </c>
      <c r="I81" s="126">
        <f>H81*E81</f>
        <v>126.51650000000001</v>
      </c>
      <c r="J81" s="80" t="str">
        <f>CCU!E448</f>
        <v>SINAPI.73924/3</v>
      </c>
      <c r="K81" s="237" t="s">
        <v>1084</v>
      </c>
    </row>
    <row r="82" spans="1:11" s="24" customFormat="1" x14ac:dyDescent="0.25">
      <c r="A82" s="247"/>
      <c r="B82" s="7" t="str">
        <f>CCU!B461</f>
        <v>1.4.6</v>
      </c>
      <c r="C82" s="95" t="str">
        <f>CCU!C461</f>
        <v>Demarcação/faixas</v>
      </c>
      <c r="D82" s="7"/>
      <c r="E82" s="7"/>
      <c r="F82" s="7"/>
      <c r="G82" s="7"/>
      <c r="H82" s="13"/>
      <c r="I82" s="13"/>
      <c r="J82" s="114"/>
      <c r="K82" s="13"/>
    </row>
    <row r="83" spans="1:11" s="85" customFormat="1" x14ac:dyDescent="0.25">
      <c r="A83" s="248"/>
      <c r="B83" s="49" t="str">
        <f>CCU!B462</f>
        <v>1.4.6.1</v>
      </c>
      <c r="C83" s="89" t="str">
        <f>CCU!C462</f>
        <v>Pintura epoxi de faixas de demarcação até 10cm</v>
      </c>
      <c r="D83" s="130" t="str">
        <f>CCU!G462</f>
        <v>m</v>
      </c>
      <c r="E83" s="126">
        <v>10</v>
      </c>
      <c r="F83" s="126">
        <f>CCU!G467</f>
        <v>20.534000000000002</v>
      </c>
      <c r="G83" s="126">
        <f>CCU!G471</f>
        <v>3.2060000000000004</v>
      </c>
      <c r="H83" s="127">
        <f>F83+G83</f>
        <v>23.740000000000002</v>
      </c>
      <c r="I83" s="126">
        <f>H83*E83</f>
        <v>237.40000000000003</v>
      </c>
      <c r="J83" s="80" t="str">
        <f>CCU!E462</f>
        <v xml:space="preserve"> COMP. PRÓPRIA </v>
      </c>
      <c r="K83" s="237" t="s">
        <v>1084</v>
      </c>
    </row>
    <row r="84" spans="1:11" s="87" customFormat="1" x14ac:dyDescent="0.25">
      <c r="A84" s="88"/>
      <c r="B84" s="5" t="str">
        <f>CCU!B474</f>
        <v>1.5</v>
      </c>
      <c r="C84" s="94" t="str">
        <f>CCU!C474</f>
        <v>Cobertura</v>
      </c>
      <c r="D84" s="5"/>
      <c r="E84" s="5"/>
      <c r="F84" s="5"/>
      <c r="G84" s="5"/>
      <c r="H84" s="12"/>
      <c r="I84" s="12"/>
      <c r="J84" s="5"/>
      <c r="K84" s="12"/>
    </row>
    <row r="85" spans="1:11" s="24" customFormat="1" x14ac:dyDescent="0.25">
      <c r="A85" s="247"/>
      <c r="B85" s="7" t="str">
        <f>CCU!B475</f>
        <v>1.5.2</v>
      </c>
      <c r="C85" s="95" t="str">
        <f>CCU!C475</f>
        <v>Telhado</v>
      </c>
      <c r="D85" s="7"/>
      <c r="E85" s="7"/>
      <c r="F85" s="7"/>
      <c r="G85" s="7"/>
      <c r="H85" s="13"/>
      <c r="I85" s="13"/>
      <c r="J85" s="7"/>
      <c r="K85" s="13"/>
    </row>
    <row r="86" spans="1:11" s="24" customFormat="1" x14ac:dyDescent="0.25">
      <c r="A86" s="247"/>
      <c r="B86" s="6" t="str">
        <f>CCU!B476</f>
        <v>1.5.2.1</v>
      </c>
      <c r="C86" s="97" t="str">
        <f>CCU!C476</f>
        <v>Fibrocimento</v>
      </c>
      <c r="D86" s="4"/>
      <c r="E86" s="126"/>
      <c r="F86" s="126"/>
      <c r="G86" s="126"/>
      <c r="H86" s="14"/>
      <c r="I86" s="15"/>
      <c r="J86" s="6"/>
      <c r="K86" s="15"/>
    </row>
    <row r="87" spans="1:11" s="24" customFormat="1" ht="30" x14ac:dyDescent="0.25">
      <c r="A87" s="247"/>
      <c r="B87" s="49" t="str">
        <f>CCU!B477</f>
        <v>1.5.2.1.1</v>
      </c>
      <c r="C87" s="89" t="str">
        <f>CCU!C477</f>
        <v>Substituição de telha ondulada fibrocimento esp.6mm, incluso acessórios de fixação e içamento</v>
      </c>
      <c r="D87" s="130" t="str">
        <f>CCU!G477</f>
        <v>m²</v>
      </c>
      <c r="E87" s="126">
        <v>10</v>
      </c>
      <c r="F87" s="126">
        <f>CCU!G482</f>
        <v>7.3832059999999995</v>
      </c>
      <c r="G87" s="126">
        <f>CCU!G489</f>
        <v>28.992300999999998</v>
      </c>
      <c r="H87" s="127">
        <f>F87+G87</f>
        <v>36.375506999999999</v>
      </c>
      <c r="I87" s="126">
        <f>H87*E87</f>
        <v>363.75506999999999</v>
      </c>
      <c r="J87" s="80" t="str">
        <f>CCU!E477</f>
        <v xml:space="preserve"> COMP. PRÓPRIA </v>
      </c>
      <c r="K87" s="237" t="s">
        <v>1085</v>
      </c>
    </row>
    <row r="88" spans="1:11" s="24" customFormat="1" ht="30" x14ac:dyDescent="0.25">
      <c r="A88" s="247"/>
      <c r="B88" s="49" t="str">
        <f>CCU!B492</f>
        <v>1.5.2.1.2</v>
      </c>
      <c r="C88" s="89" t="str">
        <f>CCU!C492</f>
        <v>Substituição de cumeeira de fibrocimento esp.6mm,  incluso acessórios de fixação e içamento</v>
      </c>
      <c r="D88" s="130" t="str">
        <f>CCU!G492</f>
        <v>m</v>
      </c>
      <c r="E88" s="126">
        <v>2.5</v>
      </c>
      <c r="F88" s="126">
        <f>CCU!G497</f>
        <v>3.9767172000000004</v>
      </c>
      <c r="G88" s="126">
        <f>CCU!G504</f>
        <v>36.490594799999997</v>
      </c>
      <c r="H88" s="127">
        <f>F88+G88</f>
        <v>40.467312</v>
      </c>
      <c r="I88" s="126">
        <f>H88*E88</f>
        <v>101.16828</v>
      </c>
      <c r="J88" s="80" t="str">
        <f>CCU!E492</f>
        <v>SINAPI.94223</v>
      </c>
      <c r="K88" s="237" t="s">
        <v>1085</v>
      </c>
    </row>
    <row r="89" spans="1:11" s="87" customFormat="1" x14ac:dyDescent="0.25">
      <c r="A89" s="249"/>
      <c r="B89" s="5" t="str">
        <f>CCU!B507</f>
        <v>1.6</v>
      </c>
      <c r="C89" s="94" t="str">
        <f>CCU!C507</f>
        <v>Esquadrias/vidros</v>
      </c>
      <c r="D89" s="132"/>
      <c r="E89" s="5"/>
      <c r="F89" s="5"/>
      <c r="G89" s="5"/>
      <c r="H89" s="133"/>
      <c r="I89" s="133"/>
      <c r="J89" s="132"/>
      <c r="K89" s="133"/>
    </row>
    <row r="90" spans="1:11" s="24" customFormat="1" x14ac:dyDescent="0.25">
      <c r="A90" s="247"/>
      <c r="B90" s="7" t="str">
        <f>CCU!B508</f>
        <v>1.6.1</v>
      </c>
      <c r="C90" s="95" t="str">
        <f>CCU!C508</f>
        <v>Madeira</v>
      </c>
      <c r="D90" s="63"/>
      <c r="E90" s="7"/>
      <c r="F90" s="7"/>
      <c r="G90" s="7"/>
      <c r="H90" s="134"/>
      <c r="I90" s="134"/>
      <c r="J90" s="63"/>
      <c r="K90" s="134"/>
    </row>
    <row r="91" spans="1:11" s="24" customFormat="1" x14ac:dyDescent="0.25">
      <c r="A91" s="247"/>
      <c r="B91" s="7" t="str">
        <f>CCU!B509</f>
        <v>1.6.2</v>
      </c>
      <c r="C91" s="95" t="str">
        <f>CCU!C509</f>
        <v>Metálica</v>
      </c>
      <c r="D91" s="63"/>
      <c r="E91" s="63"/>
      <c r="F91" s="63"/>
      <c r="G91" s="63"/>
      <c r="H91" s="134"/>
      <c r="I91" s="134"/>
      <c r="J91" s="63"/>
      <c r="K91" s="134"/>
    </row>
    <row r="92" spans="1:11" s="85" customFormat="1" x14ac:dyDescent="0.25">
      <c r="A92" s="248"/>
      <c r="B92" s="6" t="str">
        <f>CCU!B510</f>
        <v>1.6.2.2</v>
      </c>
      <c r="C92" s="97" t="str">
        <f>CCU!C510</f>
        <v>Aluminio</v>
      </c>
      <c r="D92" s="129"/>
      <c r="E92" s="126"/>
      <c r="F92" s="126"/>
      <c r="G92" s="126"/>
      <c r="H92" s="127"/>
      <c r="I92" s="126"/>
      <c r="J92" s="49"/>
      <c r="K92" s="126"/>
    </row>
    <row r="93" spans="1:11" s="85" customFormat="1" x14ac:dyDescent="0.25">
      <c r="A93" s="248"/>
      <c r="B93" s="49" t="str">
        <f>CCU!B511</f>
        <v>1.6.2.2.1</v>
      </c>
      <c r="C93" s="89" t="str">
        <f>CCU!C511</f>
        <v>Substituição de vedações das esquadrias existentes com silicone estrutural</v>
      </c>
      <c r="D93" s="125" t="str">
        <f>CCU!G511</f>
        <v>m</v>
      </c>
      <c r="E93" s="126">
        <v>10</v>
      </c>
      <c r="F93" s="126">
        <f>CCU!G516</f>
        <v>8.0594999999999999</v>
      </c>
      <c r="G93" s="126">
        <f>CCU!G519</f>
        <v>13.49</v>
      </c>
      <c r="H93" s="127">
        <f>F93+G93</f>
        <v>21.549500000000002</v>
      </c>
      <c r="I93" s="126">
        <f>H93*E93</f>
        <v>215.495</v>
      </c>
      <c r="J93" s="49" t="str">
        <f>CCU!E511</f>
        <v>TJSC - PREGÃO 81/2017</v>
      </c>
      <c r="K93" s="237" t="s">
        <v>1085</v>
      </c>
    </row>
    <row r="94" spans="1:11" s="85" customFormat="1" x14ac:dyDescent="0.25">
      <c r="A94" s="248"/>
      <c r="B94" s="49" t="str">
        <f>CCU!B522</f>
        <v>1.6.2.2.2</v>
      </c>
      <c r="C94" s="89" t="str">
        <f>CCU!C522</f>
        <v>Substituição de fechos das esquadrias existentes</v>
      </c>
      <c r="D94" s="125" t="str">
        <f>CCU!G522</f>
        <v>unid.</v>
      </c>
      <c r="E94" s="126">
        <v>2</v>
      </c>
      <c r="F94" s="126">
        <f>CCU!G527</f>
        <v>21.195999999999998</v>
      </c>
      <c r="G94" s="126">
        <f>CCU!G530</f>
        <v>21.9</v>
      </c>
      <c r="H94" s="127">
        <f>F94+G94</f>
        <v>43.095999999999997</v>
      </c>
      <c r="I94" s="126">
        <f>H94*E94</f>
        <v>86.191999999999993</v>
      </c>
      <c r="J94" s="49" t="str">
        <f>CCU!E522</f>
        <v>TJSC - PREGÃO 81/2017</v>
      </c>
      <c r="K94" s="237" t="s">
        <v>1084</v>
      </c>
    </row>
    <row r="95" spans="1:11" s="24" customFormat="1" x14ac:dyDescent="0.25">
      <c r="A95" s="247"/>
      <c r="B95" s="7" t="str">
        <f>CCU!B533</f>
        <v>1.6.3</v>
      </c>
      <c r="C95" s="95" t="str">
        <f>CCU!C533</f>
        <v>Vidros</v>
      </c>
      <c r="D95" s="63"/>
      <c r="E95" s="63"/>
      <c r="F95" s="63"/>
      <c r="G95" s="63"/>
      <c r="H95" s="134"/>
      <c r="I95" s="134"/>
      <c r="J95" s="63"/>
      <c r="K95" s="134"/>
    </row>
    <row r="96" spans="1:11" s="85" customFormat="1" x14ac:dyDescent="0.25">
      <c r="A96" s="248"/>
      <c r="B96" s="49" t="str">
        <f>CCU!B534</f>
        <v>1.6.3.1</v>
      </c>
      <c r="C96" s="89" t="str">
        <f>CCU!C534</f>
        <v>Substituição de vidro liso comum transparente 6mm</v>
      </c>
      <c r="D96" s="130" t="str">
        <f>CCU!G534</f>
        <v>m²</v>
      </c>
      <c r="E96" s="126">
        <v>2</v>
      </c>
      <c r="F96" s="126">
        <f>CCU!G539</f>
        <v>34.984000000000002</v>
      </c>
      <c r="G96" s="126">
        <f>CCU!G543</f>
        <v>98.78</v>
      </c>
      <c r="H96" s="127">
        <f t="shared" ref="H96:H100" si="4">F96+G96</f>
        <v>133.76400000000001</v>
      </c>
      <c r="I96" s="126">
        <f t="shared" ref="I96:I100" si="5">H96*E96</f>
        <v>267.52800000000002</v>
      </c>
      <c r="J96" s="80" t="str">
        <f>CCU!E534</f>
        <v xml:space="preserve"> COMP. PRÓPRIA </v>
      </c>
      <c r="K96" s="237" t="s">
        <v>1084</v>
      </c>
    </row>
    <row r="97" spans="1:11" s="85" customFormat="1" x14ac:dyDescent="0.25">
      <c r="A97" s="248"/>
      <c r="B97" s="49" t="str">
        <f>CCU!B546</f>
        <v>1.6.3.2</v>
      </c>
      <c r="C97" s="89" t="str">
        <f>CCU!C546</f>
        <v>Substituição de vidro fantasia/canelado 4mm</v>
      </c>
      <c r="D97" s="130" t="str">
        <f>CCU!G546</f>
        <v>m²</v>
      </c>
      <c r="E97" s="126">
        <v>1</v>
      </c>
      <c r="F97" s="126">
        <f>CCU!G551</f>
        <v>34.984000000000002</v>
      </c>
      <c r="G97" s="126">
        <f>CCU!G555</f>
        <v>61.449999999999996</v>
      </c>
      <c r="H97" s="127">
        <f t="shared" si="4"/>
        <v>96.433999999999997</v>
      </c>
      <c r="I97" s="126">
        <f t="shared" si="5"/>
        <v>96.433999999999997</v>
      </c>
      <c r="J97" s="80" t="str">
        <f>CCU!E546</f>
        <v xml:space="preserve"> COMP. PRÓPRIA </v>
      </c>
      <c r="K97" s="237" t="s">
        <v>1084</v>
      </c>
    </row>
    <row r="98" spans="1:11" s="85" customFormat="1" x14ac:dyDescent="0.25">
      <c r="A98" s="248"/>
      <c r="B98" s="49" t="str">
        <f>CCU!B558</f>
        <v>1.6.3.3</v>
      </c>
      <c r="C98" s="89" t="str">
        <f>CCU!C558</f>
        <v>Substituição de vidro aramado 7mm</v>
      </c>
      <c r="D98" s="130" t="str">
        <f>CCU!G558</f>
        <v>m²</v>
      </c>
      <c r="E98" s="126">
        <v>1</v>
      </c>
      <c r="F98" s="126">
        <f>CCU!G563</f>
        <v>28.586500000000001</v>
      </c>
      <c r="G98" s="126">
        <f>CCU!G567</f>
        <v>171.42000000000002</v>
      </c>
      <c r="H98" s="127">
        <f t="shared" si="4"/>
        <v>200.00650000000002</v>
      </c>
      <c r="I98" s="126">
        <f t="shared" si="5"/>
        <v>200.00650000000002</v>
      </c>
      <c r="J98" s="80" t="str">
        <f>CCU!E558</f>
        <v xml:space="preserve"> COMP. PRÓPRIA </v>
      </c>
      <c r="K98" s="237" t="s">
        <v>1084</v>
      </c>
    </row>
    <row r="99" spans="1:11" s="85" customFormat="1" x14ac:dyDescent="0.25">
      <c r="A99" s="248"/>
      <c r="B99" s="49" t="str">
        <f>CCU!B570</f>
        <v>1.6.3.4</v>
      </c>
      <c r="C99" s="89" t="str">
        <f>CCU!C570</f>
        <v xml:space="preserve">Substituição de vidro temperado incolor 10mm </v>
      </c>
      <c r="D99" s="130" t="str">
        <f>CCU!G570</f>
        <v>m²</v>
      </c>
      <c r="E99" s="126">
        <v>1</v>
      </c>
      <c r="F99" s="126">
        <f>CCU!G575</f>
        <v>30.347000000000001</v>
      </c>
      <c r="G99" s="126">
        <f>CCU!G579</f>
        <v>222.91</v>
      </c>
      <c r="H99" s="127">
        <f t="shared" si="4"/>
        <v>253.25700000000001</v>
      </c>
      <c r="I99" s="126">
        <f t="shared" si="5"/>
        <v>253.25700000000001</v>
      </c>
      <c r="J99" s="80" t="str">
        <f>CCU!E570</f>
        <v xml:space="preserve"> COMP. PRÓPRIA </v>
      </c>
      <c r="K99" s="237" t="s">
        <v>1084</v>
      </c>
    </row>
    <row r="100" spans="1:11" s="85" customFormat="1" x14ac:dyDescent="0.25">
      <c r="A100" s="248"/>
      <c r="B100" s="49" t="str">
        <f>CCU!B582</f>
        <v>1.6.3.5</v>
      </c>
      <c r="C100" s="89" t="str">
        <f>CCU!C582</f>
        <v>Substituição de espelho cristal 4mm, incluso fixação, sem moldura</v>
      </c>
      <c r="D100" s="130" t="str">
        <f>CCU!G582</f>
        <v>m²</v>
      </c>
      <c r="E100" s="126">
        <v>1</v>
      </c>
      <c r="F100" s="126">
        <f>CCU!G587</f>
        <v>57.225999999999999</v>
      </c>
      <c r="G100" s="126">
        <f>CCU!G591</f>
        <v>193.58</v>
      </c>
      <c r="H100" s="127">
        <f t="shared" si="4"/>
        <v>250.80600000000001</v>
      </c>
      <c r="I100" s="126">
        <f t="shared" si="5"/>
        <v>250.80600000000001</v>
      </c>
      <c r="J100" s="80" t="str">
        <f>CCU!E582</f>
        <v xml:space="preserve"> COMP. PRÓPRIA </v>
      </c>
      <c r="K100" s="237" t="s">
        <v>1084</v>
      </c>
    </row>
    <row r="101" spans="1:11" s="24" customFormat="1" x14ac:dyDescent="0.25">
      <c r="A101" s="247"/>
      <c r="B101" s="7" t="str">
        <f>CCU!B594</f>
        <v>1.6.4</v>
      </c>
      <c r="C101" s="95" t="str">
        <f>CCU!C594</f>
        <v>Ferragens</v>
      </c>
      <c r="D101" s="63"/>
      <c r="E101" s="63"/>
      <c r="F101" s="63"/>
      <c r="G101" s="63"/>
      <c r="H101" s="134"/>
      <c r="I101" s="134"/>
      <c r="J101" s="63"/>
      <c r="K101" s="134"/>
    </row>
    <row r="102" spans="1:11" s="85" customFormat="1" x14ac:dyDescent="0.25">
      <c r="A102" s="248"/>
      <c r="B102" s="49" t="str">
        <f>CCU!B595</f>
        <v>1.6.4.1</v>
      </c>
      <c r="C102" s="89" t="str">
        <f>CCU!C595</f>
        <v xml:space="preserve">Fechadura para porta de divisória </v>
      </c>
      <c r="D102" s="130" t="str">
        <f>CCU!G595</f>
        <v>unid.</v>
      </c>
      <c r="E102" s="126">
        <v>1</v>
      </c>
      <c r="F102" s="126">
        <f>CCU!G600</f>
        <v>29.543970000000002</v>
      </c>
      <c r="G102" s="126">
        <f>CCU!G603</f>
        <v>63.79</v>
      </c>
      <c r="H102" s="127">
        <f t="shared" ref="H102:H108" si="6">F102+G102</f>
        <v>93.333969999999994</v>
      </c>
      <c r="I102" s="126">
        <f t="shared" ref="I102:I108" si="7">H102*E102</f>
        <v>93.333969999999994</v>
      </c>
      <c r="J102" s="80" t="str">
        <f>CCU!E595</f>
        <v>SINAPI. 90830</v>
      </c>
      <c r="K102" s="237" t="s">
        <v>1084</v>
      </c>
    </row>
    <row r="103" spans="1:11" s="85" customFormat="1" x14ac:dyDescent="0.25">
      <c r="A103" s="248"/>
      <c r="B103" s="49" t="str">
        <f>CCU!B606</f>
        <v>1.6.4.2</v>
      </c>
      <c r="C103" s="89" t="str">
        <f>CCU!C606</f>
        <v>Tarjeta livre/ocupado em latão</v>
      </c>
      <c r="D103" s="130" t="str">
        <f>CCU!G606</f>
        <v>unid.</v>
      </c>
      <c r="E103" s="126">
        <v>1</v>
      </c>
      <c r="F103" s="126">
        <f>CCU!G611</f>
        <v>9.0824999999999996</v>
      </c>
      <c r="G103" s="126">
        <f>CCU!G614</f>
        <v>22.68</v>
      </c>
      <c r="H103" s="127">
        <f t="shared" si="6"/>
        <v>31.762499999999999</v>
      </c>
      <c r="I103" s="126">
        <f t="shared" si="7"/>
        <v>31.762499999999999</v>
      </c>
      <c r="J103" s="80" t="str">
        <f>CCU!E606</f>
        <v>SINAPI.74046/2</v>
      </c>
      <c r="K103" s="237" t="s">
        <v>1084</v>
      </c>
    </row>
    <row r="104" spans="1:11" s="85" customFormat="1" x14ac:dyDescent="0.25">
      <c r="A104" s="248"/>
      <c r="B104" s="49" t="str">
        <f>CCU!B617</f>
        <v>1.6.4.3</v>
      </c>
      <c r="C104" s="89" t="str">
        <f>CCU!C617</f>
        <v>Dobradiças 3" X 21/2"</v>
      </c>
      <c r="D104" s="130" t="str">
        <f>CCU!G617</f>
        <v>unid.</v>
      </c>
      <c r="E104" s="126">
        <v>1</v>
      </c>
      <c r="F104" s="126">
        <f>CCU!G622</f>
        <v>11.481</v>
      </c>
      <c r="G104" s="126">
        <f>CCU!G625</f>
        <v>29.49</v>
      </c>
      <c r="H104" s="127">
        <f t="shared" si="6"/>
        <v>40.970999999999997</v>
      </c>
      <c r="I104" s="126">
        <f t="shared" si="7"/>
        <v>40.970999999999997</v>
      </c>
      <c r="J104" s="80" t="str">
        <f>CCU!E617</f>
        <v>SINAPI.74047/2</v>
      </c>
      <c r="K104" s="237" t="s">
        <v>1084</v>
      </c>
    </row>
    <row r="105" spans="1:11" s="85" customFormat="1" x14ac:dyDescent="0.25">
      <c r="A105" s="248"/>
      <c r="B105" s="49" t="str">
        <f>CCU!B628</f>
        <v>1.6.4.4</v>
      </c>
      <c r="C105" s="89" t="str">
        <f>CCU!C628</f>
        <v>Mola hidraulica de piso para porta de vidro temperado</v>
      </c>
      <c r="D105" s="130" t="str">
        <f>CCU!G628</f>
        <v>unid.</v>
      </c>
      <c r="E105" s="126">
        <v>1</v>
      </c>
      <c r="F105" s="126">
        <f>CCU!G633</f>
        <v>19.113</v>
      </c>
      <c r="G105" s="126">
        <f>CCU!G636</f>
        <v>1063.19</v>
      </c>
      <c r="H105" s="127">
        <f t="shared" si="6"/>
        <v>1082.3030000000001</v>
      </c>
      <c r="I105" s="126">
        <f t="shared" si="7"/>
        <v>1082.3030000000001</v>
      </c>
      <c r="J105" s="80" t="str">
        <f>CCU!E628</f>
        <v xml:space="preserve"> SINAPI.84886</v>
      </c>
      <c r="K105" s="237" t="s">
        <v>1084</v>
      </c>
    </row>
    <row r="106" spans="1:11" s="85" customFormat="1" x14ac:dyDescent="0.25">
      <c r="A106" s="248"/>
      <c r="B106" s="49" t="str">
        <f>CCU!B639</f>
        <v>1.6.4.5</v>
      </c>
      <c r="C106" s="89" t="str">
        <f>CCU!C639</f>
        <v>Mola aérea fecha porta</v>
      </c>
      <c r="D106" s="130" t="str">
        <f>CCU!G639</f>
        <v>unid.</v>
      </c>
      <c r="E106" s="126">
        <v>1</v>
      </c>
      <c r="F106" s="126">
        <f>CCU!G644</f>
        <v>20.898</v>
      </c>
      <c r="G106" s="126">
        <f>CCU!G647</f>
        <v>164.88</v>
      </c>
      <c r="H106" s="127">
        <f t="shared" si="6"/>
        <v>185.77799999999999</v>
      </c>
      <c r="I106" s="126">
        <f t="shared" si="7"/>
        <v>185.77799999999999</v>
      </c>
      <c r="J106" s="80" t="str">
        <f>CCU!E639</f>
        <v xml:space="preserve"> COMP. PRÓPRIA </v>
      </c>
      <c r="K106" s="237" t="s">
        <v>1084</v>
      </c>
    </row>
    <row r="107" spans="1:11" s="85" customFormat="1" x14ac:dyDescent="0.25">
      <c r="A107" s="248"/>
      <c r="B107" s="49" t="str">
        <f>CCU!B650</f>
        <v>1.6.4.6</v>
      </c>
      <c r="C107" s="89" t="str">
        <f>CCU!C650</f>
        <v>Fechadura para porta de vidro</v>
      </c>
      <c r="D107" s="130" t="str">
        <f>CCU!G650</f>
        <v>unid.</v>
      </c>
      <c r="E107" s="126">
        <v>1</v>
      </c>
      <c r="F107" s="126">
        <f>CCU!G655</f>
        <v>19.113</v>
      </c>
      <c r="G107" s="126">
        <f>CCU!G658</f>
        <v>50.89</v>
      </c>
      <c r="H107" s="127">
        <f t="shared" si="6"/>
        <v>70.003</v>
      </c>
      <c r="I107" s="126">
        <f t="shared" si="7"/>
        <v>70.003</v>
      </c>
      <c r="J107" s="80" t="str">
        <f>CCU!E650</f>
        <v xml:space="preserve"> COMP. PRÓPRIA </v>
      </c>
      <c r="K107" s="237" t="s">
        <v>1084</v>
      </c>
    </row>
    <row r="108" spans="1:11" s="85" customFormat="1" x14ac:dyDescent="0.25">
      <c r="A108" s="248"/>
      <c r="B108" s="49" t="str">
        <f>CCU!B661</f>
        <v>1.6.4.7</v>
      </c>
      <c r="C108" s="89" t="str">
        <f>CCU!C661</f>
        <v>Acessórios de armário embutido (corrediças, dobradiças, pistão a gás, cantoneira, fechaduras</v>
      </c>
      <c r="D108" s="130" t="str">
        <f>CCU!G661</f>
        <v>unid.</v>
      </c>
      <c r="E108" s="126">
        <v>2</v>
      </c>
      <c r="F108" s="126">
        <f>CCU!G665</f>
        <v>9.8550000000000004</v>
      </c>
      <c r="G108" s="126">
        <f>CCU!G672</f>
        <v>7.6094000000000008</v>
      </c>
      <c r="H108" s="127">
        <f t="shared" si="6"/>
        <v>17.464400000000001</v>
      </c>
      <c r="I108" s="126">
        <f t="shared" si="7"/>
        <v>34.928800000000003</v>
      </c>
      <c r="J108" s="80" t="str">
        <f>CCU!E661</f>
        <v xml:space="preserve"> COMP. PRÓPRIA </v>
      </c>
      <c r="K108" s="237" t="s">
        <v>1084</v>
      </c>
    </row>
    <row r="109" spans="1:11" s="87" customFormat="1" x14ac:dyDescent="0.25">
      <c r="A109" s="88"/>
      <c r="B109" s="5" t="str">
        <f>CCU!B675</f>
        <v>1.7</v>
      </c>
      <c r="C109" s="94" t="str">
        <f>CCU!C675</f>
        <v>Serralheria</v>
      </c>
      <c r="D109" s="132"/>
      <c r="E109" s="132"/>
      <c r="F109" s="132"/>
      <c r="G109" s="132"/>
      <c r="H109" s="133"/>
      <c r="I109" s="133"/>
      <c r="J109" s="135"/>
      <c r="K109" s="133"/>
    </row>
    <row r="110" spans="1:11" s="24" customFormat="1" x14ac:dyDescent="0.25">
      <c r="A110" s="247"/>
      <c r="B110" s="7" t="str">
        <f>CCU!B676</f>
        <v>1.7.5</v>
      </c>
      <c r="C110" s="95" t="str">
        <f>CCU!C676</f>
        <v>Estruturas de fixação</v>
      </c>
      <c r="D110" s="63"/>
      <c r="E110" s="63"/>
      <c r="F110" s="63"/>
      <c r="G110" s="63"/>
      <c r="H110" s="134"/>
      <c r="I110" s="134"/>
      <c r="J110" s="63"/>
      <c r="K110" s="134"/>
    </row>
    <row r="111" spans="1:11" s="88" customFormat="1" x14ac:dyDescent="0.25">
      <c r="B111" s="49" t="str">
        <f>CCU!B677</f>
        <v>1.7.5.1</v>
      </c>
      <c r="C111" s="89" t="str">
        <f>CCU!C677</f>
        <v>Estrutura em aço para fixação e suporte de elementos arquitetônicos e/ou de instalações</v>
      </c>
      <c r="D111" s="130" t="str">
        <f>CCU!G677</f>
        <v>kg</v>
      </c>
      <c r="E111" s="126">
        <v>5</v>
      </c>
      <c r="F111" s="126">
        <f>CCU!G683</f>
        <v>9.5963999999999992</v>
      </c>
      <c r="G111" s="126">
        <f>CCU!G690</f>
        <v>11.08</v>
      </c>
      <c r="H111" s="127">
        <f>F111+G111</f>
        <v>20.676400000000001</v>
      </c>
      <c r="I111" s="126">
        <f>H111*E111</f>
        <v>103.38200000000001</v>
      </c>
      <c r="J111" s="49" t="str">
        <f>CCU!E677</f>
        <v>CONTRATO 71/2013-15.13.1</v>
      </c>
      <c r="K111" s="237" t="s">
        <v>1084</v>
      </c>
    </row>
    <row r="112" spans="1:11" s="87" customFormat="1" x14ac:dyDescent="0.25">
      <c r="A112" s="88"/>
      <c r="B112" s="5" t="str">
        <f>CCU!B693</f>
        <v>1.8</v>
      </c>
      <c r="C112" s="94" t="str">
        <f>CCU!C693</f>
        <v>Tratamentos/Isolamentos/Impermeabilizações</v>
      </c>
      <c r="D112" s="132"/>
      <c r="E112" s="132"/>
      <c r="F112" s="132"/>
      <c r="G112" s="132"/>
      <c r="H112" s="133"/>
      <c r="I112" s="133"/>
      <c r="J112" s="132"/>
      <c r="K112" s="133"/>
    </row>
    <row r="113" spans="1:11" s="24" customFormat="1" x14ac:dyDescent="0.25">
      <c r="A113" s="247"/>
      <c r="B113" s="7" t="str">
        <f>CCU!B694</f>
        <v>1.8.3</v>
      </c>
      <c r="C113" s="95" t="str">
        <f>CCU!C694</f>
        <v>Impermeabilizações</v>
      </c>
      <c r="D113" s="63"/>
      <c r="E113" s="63"/>
      <c r="F113" s="63"/>
      <c r="G113" s="63"/>
      <c r="H113" s="134"/>
      <c r="I113" s="134"/>
      <c r="J113" s="63"/>
      <c r="K113" s="134"/>
    </row>
    <row r="114" spans="1:11" s="88" customFormat="1" x14ac:dyDescent="0.25">
      <c r="B114" s="49" t="str">
        <f>CCU!B695</f>
        <v>1.8.3.2</v>
      </c>
      <c r="C114" s="89" t="str">
        <f>CCU!C695</f>
        <v>Impermeabilização com manta asfaltica 4mm</v>
      </c>
      <c r="D114" s="130" t="str">
        <f>CCU!G695</f>
        <v>m²</v>
      </c>
      <c r="E114" s="126">
        <v>10</v>
      </c>
      <c r="F114" s="126">
        <f>CCU!G701</f>
        <v>22.863</v>
      </c>
      <c r="G114" s="126">
        <f>CCU!G706</f>
        <v>44.949999999999996</v>
      </c>
      <c r="H114" s="127">
        <f t="shared" ref="H114:H118" si="8">F114+G114</f>
        <v>67.812999999999988</v>
      </c>
      <c r="I114" s="126">
        <f t="shared" ref="I114:I118" si="9">H114*E114</f>
        <v>678.12999999999988</v>
      </c>
      <c r="J114" s="80" t="str">
        <f>CCU!E695</f>
        <v>SINAPI.83738</v>
      </c>
      <c r="K114" s="237" t="s">
        <v>1084</v>
      </c>
    </row>
    <row r="115" spans="1:11" s="88" customFormat="1" x14ac:dyDescent="0.25">
      <c r="B115" s="49" t="str">
        <f>CCU!B709</f>
        <v>1.8.3.3</v>
      </c>
      <c r="C115" s="89" t="str">
        <f>CCU!C709</f>
        <v>Impermeabilização com manta asfaltica com aluminio 3mm</v>
      </c>
      <c r="D115" s="130" t="str">
        <f>CCU!G709</f>
        <v>m²</v>
      </c>
      <c r="E115" s="126">
        <v>5</v>
      </c>
      <c r="F115" s="126">
        <f>CCU!G714</f>
        <v>41.837800000000001</v>
      </c>
      <c r="G115" s="126">
        <f>CCU!G718</f>
        <v>28.9</v>
      </c>
      <c r="H115" s="127">
        <f t="shared" si="8"/>
        <v>70.737799999999993</v>
      </c>
      <c r="I115" s="126">
        <f t="shared" si="9"/>
        <v>353.68899999999996</v>
      </c>
      <c r="J115" s="80" t="str">
        <f>CCU!E709</f>
        <v>SINAPI.73753/1</v>
      </c>
      <c r="K115" s="237" t="s">
        <v>1084</v>
      </c>
    </row>
    <row r="116" spans="1:11" s="88" customFormat="1" x14ac:dyDescent="0.25">
      <c r="B116" s="49" t="str">
        <f>CCU!B721</f>
        <v>1.8.3.4</v>
      </c>
      <c r="C116" s="89" t="str">
        <f>CCU!C721</f>
        <v>Impermeabilização de superficies com argamassa polimerica e resina termoplastica</v>
      </c>
      <c r="D116" s="130" t="str">
        <f>CCU!G721</f>
        <v>m²</v>
      </c>
      <c r="E116" s="126">
        <v>10</v>
      </c>
      <c r="F116" s="126">
        <f>CCU!G726</f>
        <v>13.559000000000001</v>
      </c>
      <c r="G116" s="126">
        <f>CCU!G730</f>
        <v>38.53</v>
      </c>
      <c r="H116" s="127">
        <f t="shared" si="8"/>
        <v>52.088999999999999</v>
      </c>
      <c r="I116" s="126">
        <f t="shared" si="9"/>
        <v>520.89</v>
      </c>
      <c r="J116" s="80" t="str">
        <f>CCU!E721</f>
        <v xml:space="preserve">SINAPI.72075+74033/1 </v>
      </c>
      <c r="K116" s="237" t="s">
        <v>1084</v>
      </c>
    </row>
    <row r="117" spans="1:11" s="88" customFormat="1" x14ac:dyDescent="0.25">
      <c r="B117" s="49" t="str">
        <f>CCU!B733</f>
        <v>1.8.3.5</v>
      </c>
      <c r="C117" s="2" t="str">
        <f>CCU!C733</f>
        <v>Vedação com mastique elastico a base de poliuretano, para juntas de 2x2cm</v>
      </c>
      <c r="D117" s="130" t="str">
        <f>CCU!G733</f>
        <v>m</v>
      </c>
      <c r="E117" s="126">
        <v>5</v>
      </c>
      <c r="F117" s="126">
        <f>CCU!G737</f>
        <v>2.9977200000000002</v>
      </c>
      <c r="G117" s="126">
        <f>CCU!G740</f>
        <v>34.81</v>
      </c>
      <c r="H117" s="127">
        <f t="shared" si="8"/>
        <v>37.807720000000003</v>
      </c>
      <c r="I117" s="126">
        <f t="shared" si="9"/>
        <v>189.03860000000003</v>
      </c>
      <c r="J117" s="80" t="str">
        <f>CCU!E733</f>
        <v xml:space="preserve"> COMP. PRÓPRIA </v>
      </c>
      <c r="K117" s="237" t="s">
        <v>1084</v>
      </c>
    </row>
    <row r="118" spans="1:11" s="88" customFormat="1" x14ac:dyDescent="0.25">
      <c r="B118" s="49" t="str">
        <f>CCU!B743</f>
        <v>1.8.3.6</v>
      </c>
      <c r="C118" s="2" t="str">
        <f>CCU!C743</f>
        <v>Impermeabilização de superficie com mastique betuminoso a frio, por metro</v>
      </c>
      <c r="D118" s="130" t="str">
        <f>CCU!G743</f>
        <v>m</v>
      </c>
      <c r="E118" s="126">
        <v>5</v>
      </c>
      <c r="F118" s="126">
        <f>CCU!G748</f>
        <v>21.664000000000001</v>
      </c>
      <c r="G118" s="126">
        <f>CCU!G754</f>
        <v>25.620000000000005</v>
      </c>
      <c r="H118" s="127">
        <f t="shared" si="8"/>
        <v>47.284000000000006</v>
      </c>
      <c r="I118" s="126">
        <f t="shared" si="9"/>
        <v>236.42000000000002</v>
      </c>
      <c r="J118" s="80" t="str">
        <f>CCU!E743</f>
        <v>SINAPI.74025/1</v>
      </c>
      <c r="K118" s="237" t="s">
        <v>1084</v>
      </c>
    </row>
    <row r="119" spans="1:11" s="87" customFormat="1" x14ac:dyDescent="0.25">
      <c r="A119" s="88"/>
      <c r="B119" s="5" t="str">
        <f>CCU!B757</f>
        <v>1.9</v>
      </c>
      <c r="C119" s="94" t="str">
        <f>CCU!C757</f>
        <v>Instalações Hidro-sanitárias</v>
      </c>
      <c r="D119" s="5"/>
      <c r="E119" s="132"/>
      <c r="F119" s="132"/>
      <c r="G119" s="132"/>
      <c r="H119" s="12"/>
      <c r="I119" s="12"/>
      <c r="J119" s="5"/>
      <c r="K119" s="12"/>
    </row>
    <row r="120" spans="1:11" s="24" customFormat="1" x14ac:dyDescent="0.25">
      <c r="A120" s="247"/>
      <c r="B120" s="7" t="str">
        <f>CCU!B758</f>
        <v>1.9.1</v>
      </c>
      <c r="C120" s="95" t="str">
        <f>CCU!C758</f>
        <v>Louças e metais</v>
      </c>
      <c r="D120" s="7"/>
      <c r="E120" s="63"/>
      <c r="F120" s="63"/>
      <c r="G120" s="63"/>
      <c r="H120" s="13"/>
      <c r="I120" s="13"/>
      <c r="J120" s="7"/>
      <c r="K120" s="13"/>
    </row>
    <row r="121" spans="1:11" s="24" customFormat="1" x14ac:dyDescent="0.25">
      <c r="A121" s="247"/>
      <c r="B121" s="49" t="str">
        <f>CCU!B759</f>
        <v>1.9.1.1</v>
      </c>
      <c r="C121" s="89" t="str">
        <f>CCU!C759</f>
        <v xml:space="preserve">Substituição de vaso sanitário com caixa acoplada </v>
      </c>
      <c r="D121" s="130" t="str">
        <f>CCU!G759</f>
        <v>unid.</v>
      </c>
      <c r="E121" s="126">
        <v>1</v>
      </c>
      <c r="F121" s="126">
        <f>CCU!G764</f>
        <v>33.427293000000006</v>
      </c>
      <c r="G121" s="126">
        <f>CCU!G770</f>
        <v>344.85611</v>
      </c>
      <c r="H121" s="127">
        <f t="shared" ref="H121:H134" si="10">F121+G121</f>
        <v>378.28340300000002</v>
      </c>
      <c r="I121" s="126">
        <f t="shared" ref="I121:I134" si="11">H121*E121</f>
        <v>378.28340300000002</v>
      </c>
      <c r="J121" s="65" t="str">
        <f>CCU!E759</f>
        <v xml:space="preserve"> COMP. PRÓPRIA </v>
      </c>
      <c r="K121" s="237" t="s">
        <v>1084</v>
      </c>
    </row>
    <row r="122" spans="1:11" s="24" customFormat="1" x14ac:dyDescent="0.25">
      <c r="A122" s="247"/>
      <c r="B122" s="49" t="str">
        <f>CCU!B773</f>
        <v>1.9.1.3</v>
      </c>
      <c r="C122" s="89" t="str">
        <f>CCU!C773</f>
        <v>Substituição de lavatório de coluna</v>
      </c>
      <c r="D122" s="130" t="str">
        <f>CCU!G773</f>
        <v>unid.</v>
      </c>
      <c r="E122" s="126">
        <v>1</v>
      </c>
      <c r="F122" s="126">
        <f>CCU!G778</f>
        <v>51.783693</v>
      </c>
      <c r="G122" s="126">
        <f>CCU!G784</f>
        <v>270.64317</v>
      </c>
      <c r="H122" s="127">
        <f t="shared" si="10"/>
        <v>322.42686300000003</v>
      </c>
      <c r="I122" s="126">
        <f t="shared" si="11"/>
        <v>322.42686300000003</v>
      </c>
      <c r="J122" s="49" t="str">
        <f>CCU!E773</f>
        <v xml:space="preserve"> COMP. PRÓPRIA </v>
      </c>
      <c r="K122" s="237" t="s">
        <v>1084</v>
      </c>
    </row>
    <row r="123" spans="1:11" s="24" customFormat="1" x14ac:dyDescent="0.25">
      <c r="A123" s="247"/>
      <c r="B123" s="49" t="str">
        <f>CCU!B787</f>
        <v>1.9.1.4</v>
      </c>
      <c r="C123" s="89" t="str">
        <f>CCU!C787</f>
        <v>Substituição de assento sanitario plástico branco</v>
      </c>
      <c r="D123" s="130" t="str">
        <f>CCU!G787</f>
        <v>unid.</v>
      </c>
      <c r="E123" s="126">
        <v>1</v>
      </c>
      <c r="F123" s="126">
        <f>CCU!G791</f>
        <v>8.4450000000000003</v>
      </c>
      <c r="G123" s="126">
        <f>CCU!G794</f>
        <v>17.91</v>
      </c>
      <c r="H123" s="127">
        <f t="shared" si="10"/>
        <v>26.355</v>
      </c>
      <c r="I123" s="126">
        <f t="shared" si="11"/>
        <v>26.355</v>
      </c>
      <c r="J123" s="49" t="str">
        <f>CCU!E787</f>
        <v xml:space="preserve"> COMP. PRÓPRIA </v>
      </c>
      <c r="K123" s="237" t="s">
        <v>1085</v>
      </c>
    </row>
    <row r="124" spans="1:11" s="24" customFormat="1" x14ac:dyDescent="0.25">
      <c r="A124" s="247"/>
      <c r="B124" s="49" t="str">
        <f>CCU!B797</f>
        <v>1.9.1.5</v>
      </c>
      <c r="C124" s="89" t="str">
        <f>CCU!C797</f>
        <v>Substituição de ducha higiênica</v>
      </c>
      <c r="D124" s="130" t="str">
        <f>CCU!G797</f>
        <v>unid.</v>
      </c>
      <c r="E124" s="126">
        <v>1</v>
      </c>
      <c r="F124" s="126">
        <f>CCU!G802</f>
        <v>9.5022540000000006</v>
      </c>
      <c r="G124" s="126">
        <f>CCU!G805</f>
        <v>177.24</v>
      </c>
      <c r="H124" s="127">
        <f t="shared" si="10"/>
        <v>186.742254</v>
      </c>
      <c r="I124" s="126">
        <f t="shared" si="11"/>
        <v>186.742254</v>
      </c>
      <c r="J124" s="49" t="str">
        <f>CCU!E797</f>
        <v xml:space="preserve"> COMP. PRÓPRIA </v>
      </c>
      <c r="K124" s="237" t="s">
        <v>1084</v>
      </c>
    </row>
    <row r="125" spans="1:11" s="24" customFormat="1" ht="45" x14ac:dyDescent="0.25">
      <c r="A125" s="247"/>
      <c r="B125" s="49" t="str">
        <f>CCU!B808</f>
        <v>1.9.1.6</v>
      </c>
      <c r="C125" s="89" t="str">
        <f>CCU!C808</f>
        <v>Substituição de saboneteira plastica tipo dispenser para sabonete liquido com reservatório/ Toalheiro plastico tipo dispenser para papel toalha interfolhado/ Papeleira plastica tipo dispenser para papel higienico rolão</v>
      </c>
      <c r="D125" s="130" t="str">
        <f>CCU!G808</f>
        <v>unid.</v>
      </c>
      <c r="E125" s="126">
        <v>1</v>
      </c>
      <c r="F125" s="126">
        <f>CCU!G814</f>
        <v>14.628954</v>
      </c>
      <c r="G125" s="126">
        <f>CCU!G819</f>
        <v>57.43333333333333</v>
      </c>
      <c r="H125" s="127">
        <f t="shared" si="10"/>
        <v>72.06228733333333</v>
      </c>
      <c r="I125" s="126">
        <f t="shared" si="11"/>
        <v>72.06228733333333</v>
      </c>
      <c r="J125" s="80" t="str">
        <f>CCU!E808</f>
        <v xml:space="preserve"> COMP. PRÓPRIA </v>
      </c>
      <c r="K125" s="237" t="s">
        <v>1085</v>
      </c>
    </row>
    <row r="126" spans="1:11" s="24" customFormat="1" x14ac:dyDescent="0.25">
      <c r="A126" s="247"/>
      <c r="B126" s="49" t="str">
        <f>CCU!B822</f>
        <v>1.9.1.7</v>
      </c>
      <c r="C126" s="89" t="str">
        <f>CCU!C822</f>
        <v>Substituição de carrapeta de torneira</v>
      </c>
      <c r="D126" s="130" t="str">
        <f>CCU!G822</f>
        <v>unid.</v>
      </c>
      <c r="E126" s="126">
        <v>3</v>
      </c>
      <c r="F126" s="126">
        <f>CCU!G826</f>
        <v>4.7699999999999996</v>
      </c>
      <c r="G126" s="126">
        <f>CCU!G829</f>
        <v>1</v>
      </c>
      <c r="H126" s="127">
        <f t="shared" si="10"/>
        <v>5.77</v>
      </c>
      <c r="I126" s="126">
        <f t="shared" si="11"/>
        <v>17.309999999999999</v>
      </c>
      <c r="J126" s="80" t="str">
        <f>CCU!E822</f>
        <v xml:space="preserve"> COMP. PRÓPRIA </v>
      </c>
      <c r="K126" s="237" t="s">
        <v>1085</v>
      </c>
    </row>
    <row r="127" spans="1:11" s="24" customFormat="1" x14ac:dyDescent="0.25">
      <c r="A127" s="247"/>
      <c r="B127" s="49" t="str">
        <f>CCU!B832</f>
        <v>1.9.1.8</v>
      </c>
      <c r="C127" s="89" t="str">
        <f>CCU!C832</f>
        <v>Substituição de reparo da caixa acoplada deca</v>
      </c>
      <c r="D127" s="130" t="str">
        <f>CCU!G832</f>
        <v>unid.</v>
      </c>
      <c r="E127" s="126">
        <v>1</v>
      </c>
      <c r="F127" s="126">
        <f>CCU!G836</f>
        <v>16.252500000000001</v>
      </c>
      <c r="G127" s="126">
        <f>CCU!G839</f>
        <v>124.18</v>
      </c>
      <c r="H127" s="127">
        <f t="shared" si="10"/>
        <v>140.4325</v>
      </c>
      <c r="I127" s="126">
        <f t="shared" si="11"/>
        <v>140.4325</v>
      </c>
      <c r="J127" s="80" t="str">
        <f>CCU!E832</f>
        <v xml:space="preserve"> COMP. PRÓPRIA </v>
      </c>
      <c r="K127" s="237" t="s">
        <v>1085</v>
      </c>
    </row>
    <row r="128" spans="1:11" s="24" customFormat="1" x14ac:dyDescent="0.25">
      <c r="A128" s="247"/>
      <c r="B128" s="49" t="str">
        <f>CCU!B842</f>
        <v>1.9.1.9</v>
      </c>
      <c r="C128" s="89" t="str">
        <f>CCU!C842</f>
        <v>Substituição de reparo da  valvula de descarga deca</v>
      </c>
      <c r="D128" s="130" t="str">
        <f>CCU!G842</f>
        <v>unid.</v>
      </c>
      <c r="E128" s="126">
        <v>1</v>
      </c>
      <c r="F128" s="126">
        <f>CCU!G846</f>
        <v>16.252500000000001</v>
      </c>
      <c r="G128" s="126">
        <f>CCU!G849</f>
        <v>34.9</v>
      </c>
      <c r="H128" s="127">
        <f t="shared" si="10"/>
        <v>51.152500000000003</v>
      </c>
      <c r="I128" s="126">
        <f t="shared" si="11"/>
        <v>51.152500000000003</v>
      </c>
      <c r="J128" s="80" t="str">
        <f>CCU!E842</f>
        <v xml:space="preserve"> COMP. PRÓPRIA </v>
      </c>
      <c r="K128" s="237" t="s">
        <v>1084</v>
      </c>
    </row>
    <row r="129" spans="1:11" s="24" customFormat="1" x14ac:dyDescent="0.25">
      <c r="A129" s="247"/>
      <c r="B129" s="49" t="str">
        <f>CCU!B852</f>
        <v>1.9.1.10</v>
      </c>
      <c r="C129" s="89" t="str">
        <f>CCU!C852</f>
        <v>Substituição de válvula de descarga 1.1/2" com registro, acabamento em metal cromado</v>
      </c>
      <c r="D129" s="130" t="str">
        <f>CCU!G852</f>
        <v>unid.</v>
      </c>
      <c r="E129" s="126">
        <v>1</v>
      </c>
      <c r="F129" s="126">
        <f>CCU!G857</f>
        <v>36.615454</v>
      </c>
      <c r="G129" s="126">
        <f>CCU!G862</f>
        <v>152.59960000000001</v>
      </c>
      <c r="H129" s="127">
        <f t="shared" si="10"/>
        <v>189.21505400000001</v>
      </c>
      <c r="I129" s="126">
        <f t="shared" si="11"/>
        <v>189.21505400000001</v>
      </c>
      <c r="J129" s="80" t="str">
        <f>CCU!E852</f>
        <v xml:space="preserve">SINAPI.40729 </v>
      </c>
      <c r="K129" s="237" t="s">
        <v>1084</v>
      </c>
    </row>
    <row r="130" spans="1:11" s="24" customFormat="1" x14ac:dyDescent="0.25">
      <c r="A130" s="247"/>
      <c r="B130" s="49" t="str">
        <f>CCU!B865</f>
        <v>1.9.1.11</v>
      </c>
      <c r="C130" s="89" t="str">
        <f>CCU!C865</f>
        <v>Grelha inox abre/fecha 150mm</v>
      </c>
      <c r="D130" s="130" t="str">
        <f>CCU!G865</f>
        <v>unid.</v>
      </c>
      <c r="E130" s="126">
        <v>1</v>
      </c>
      <c r="F130" s="126">
        <f>CCU!G869</f>
        <v>5.4175000000000004</v>
      </c>
      <c r="G130" s="126">
        <f>CCU!G872</f>
        <v>29.9</v>
      </c>
      <c r="H130" s="127">
        <f t="shared" si="10"/>
        <v>35.317499999999995</v>
      </c>
      <c r="I130" s="126">
        <f t="shared" si="11"/>
        <v>35.317499999999995</v>
      </c>
      <c r="J130" s="80" t="str">
        <f>CCU!E865</f>
        <v xml:space="preserve"> COMP. PRÓPRIA </v>
      </c>
      <c r="K130" s="237" t="s">
        <v>1084</v>
      </c>
    </row>
    <row r="131" spans="1:11" s="24" customFormat="1" x14ac:dyDescent="0.25">
      <c r="A131" s="247"/>
      <c r="B131" s="49" t="str">
        <f>CCU!B875</f>
        <v>1.9.1.12</v>
      </c>
      <c r="C131" s="89" t="str">
        <f>CCU!C875</f>
        <v>Substituição de torneira deca</v>
      </c>
      <c r="D131" s="130" t="str">
        <f>CCU!G875</f>
        <v>unid.</v>
      </c>
      <c r="E131" s="126">
        <v>1</v>
      </c>
      <c r="F131" s="126">
        <f>CCU!G880</f>
        <v>9.5022540000000006</v>
      </c>
      <c r="G131" s="126">
        <f>CCU!G884</f>
        <v>152.54472000000001</v>
      </c>
      <c r="H131" s="127">
        <f t="shared" si="10"/>
        <v>162.04697400000001</v>
      </c>
      <c r="I131" s="126">
        <f t="shared" si="11"/>
        <v>162.04697400000001</v>
      </c>
      <c r="J131" s="80" t="str">
        <f>CCU!E875</f>
        <v xml:space="preserve"> COMP. PRÓPRIA </v>
      </c>
      <c r="K131" s="237" t="s">
        <v>1084</v>
      </c>
    </row>
    <row r="132" spans="1:11" s="24" customFormat="1" x14ac:dyDescent="0.25">
      <c r="A132" s="247"/>
      <c r="B132" s="49" t="str">
        <f>CCU!B887</f>
        <v>1.9.1.13</v>
      </c>
      <c r="C132" s="89" t="str">
        <f>CCU!C887</f>
        <v>Substituição de torneira eletrica</v>
      </c>
      <c r="D132" s="130" t="str">
        <f>CCU!G887</f>
        <v>unid.</v>
      </c>
      <c r="E132" s="126">
        <v>1</v>
      </c>
      <c r="F132" s="126">
        <f>CCU!G893</f>
        <v>30.625854</v>
      </c>
      <c r="G132" s="126">
        <f>CCU!G897</f>
        <v>89.494720000000001</v>
      </c>
      <c r="H132" s="127">
        <f t="shared" si="10"/>
        <v>120.120574</v>
      </c>
      <c r="I132" s="126">
        <f t="shared" si="11"/>
        <v>120.120574</v>
      </c>
      <c r="J132" s="80" t="str">
        <f>CCU!E887</f>
        <v xml:space="preserve"> COMP. PRÓPRIA </v>
      </c>
      <c r="K132" s="237" t="s">
        <v>1084</v>
      </c>
    </row>
    <row r="133" spans="1:11" s="24" customFormat="1" x14ac:dyDescent="0.25">
      <c r="A133" s="247"/>
      <c r="B133" s="49" t="str">
        <f>CCU!B900</f>
        <v>1.9.1.15</v>
      </c>
      <c r="C133" s="89" t="str">
        <f>CCU!C900</f>
        <v>Chuveiro comum em plastico cromado, com cano, 4 temperaturas (110/220 V)</v>
      </c>
      <c r="D133" s="130" t="str">
        <f>CCU!G900</f>
        <v>unid.</v>
      </c>
      <c r="E133" s="126">
        <v>1</v>
      </c>
      <c r="F133" s="126">
        <f>CCU!G905</f>
        <v>15.541637000000001</v>
      </c>
      <c r="G133" s="126">
        <f>CCU!G909</f>
        <v>133.49630000000002</v>
      </c>
      <c r="H133" s="127">
        <f t="shared" si="10"/>
        <v>149.03793700000003</v>
      </c>
      <c r="I133" s="126">
        <f t="shared" si="11"/>
        <v>149.03793700000003</v>
      </c>
      <c r="J133" s="80" t="str">
        <f>CCU!E900</f>
        <v xml:space="preserve"> COMP. PRÓPRIA </v>
      </c>
      <c r="K133" s="237" t="s">
        <v>1084</v>
      </c>
    </row>
    <row r="134" spans="1:11" s="24" customFormat="1" x14ac:dyDescent="0.25">
      <c r="A134" s="247"/>
      <c r="B134" s="49" t="str">
        <f>CCU!B912</f>
        <v>1.9.1.16</v>
      </c>
      <c r="C134" s="89" t="str">
        <f>CCU!C912</f>
        <v xml:space="preserve">Substiuição de resistencia para chuveiro elétrico </v>
      </c>
      <c r="D134" s="130" t="str">
        <f>CCU!G912</f>
        <v>unid.</v>
      </c>
      <c r="E134" s="126">
        <v>1</v>
      </c>
      <c r="F134" s="126">
        <f>CCU!G916</f>
        <v>12.855</v>
      </c>
      <c r="G134" s="126">
        <f>CCU!G919</f>
        <v>24.34</v>
      </c>
      <c r="H134" s="127">
        <f t="shared" si="10"/>
        <v>37.195</v>
      </c>
      <c r="I134" s="126">
        <f t="shared" si="11"/>
        <v>37.195</v>
      </c>
      <c r="J134" s="80" t="str">
        <f>CCU!E912</f>
        <v xml:space="preserve"> COMP. PRÓPRIA </v>
      </c>
      <c r="K134" s="237" t="s">
        <v>1084</v>
      </c>
    </row>
    <row r="135" spans="1:11" s="24" customFormat="1" x14ac:dyDescent="0.25">
      <c r="A135" s="248"/>
      <c r="B135" s="7" t="str">
        <f>CCU!B922</f>
        <v>1.9.2</v>
      </c>
      <c r="C135" s="95" t="str">
        <f>CCU!C922</f>
        <v>Tubos e conexões</v>
      </c>
      <c r="D135" s="63"/>
      <c r="E135" s="63"/>
      <c r="F135" s="63"/>
      <c r="G135" s="63"/>
      <c r="H135" s="134"/>
      <c r="I135" s="134"/>
      <c r="J135" s="63"/>
      <c r="K135" s="134"/>
    </row>
    <row r="136" spans="1:11" s="24" customFormat="1" x14ac:dyDescent="0.25">
      <c r="A136" s="248"/>
      <c r="B136" s="49" t="str">
        <f>CCU!B923</f>
        <v>1.9.2.1</v>
      </c>
      <c r="C136" s="89" t="str">
        <f>CCU!C923</f>
        <v>Tubo PVC soldavel água fria 25mm, incluso conexões, cortes e fixações</v>
      </c>
      <c r="D136" s="130" t="str">
        <f>CCU!G923</f>
        <v>m</v>
      </c>
      <c r="E136" s="126">
        <v>1</v>
      </c>
      <c r="F136" s="126">
        <f>CCU!G932</f>
        <v>4.5185219999999999</v>
      </c>
      <c r="G136" s="126">
        <f>CCU!G953</f>
        <v>29.187762000000003</v>
      </c>
      <c r="H136" s="127">
        <f t="shared" ref="H136:H142" si="12">F136+G136</f>
        <v>33.706284000000004</v>
      </c>
      <c r="I136" s="126">
        <f t="shared" ref="I136:I142" si="13">H136*E136</f>
        <v>33.706284000000004</v>
      </c>
      <c r="J136" s="80" t="str">
        <f>CCU!E923</f>
        <v xml:space="preserve">SINAPI.91785 </v>
      </c>
      <c r="K136" s="237" t="s">
        <v>1085</v>
      </c>
    </row>
    <row r="137" spans="1:11" s="24" customFormat="1" x14ac:dyDescent="0.25">
      <c r="A137" s="248"/>
      <c r="B137" s="49" t="str">
        <f>CCU!B956</f>
        <v>1.9.2.2</v>
      </c>
      <c r="C137" s="89" t="str">
        <f>CCU!C956</f>
        <v>Tubo PVC soldavel água fria 32mm, incluso conexões, cortes e fixações</v>
      </c>
      <c r="D137" s="130" t="str">
        <f>CCU!G956</f>
        <v>m</v>
      </c>
      <c r="E137" s="126">
        <v>1</v>
      </c>
      <c r="F137" s="126">
        <f>CCU!G965</f>
        <v>0.57204299999999997</v>
      </c>
      <c r="G137" s="126">
        <f>CCU!G986</f>
        <v>19.813942000000001</v>
      </c>
      <c r="H137" s="127">
        <f t="shared" si="12"/>
        <v>20.385985000000002</v>
      </c>
      <c r="I137" s="126">
        <f t="shared" si="13"/>
        <v>20.385985000000002</v>
      </c>
      <c r="J137" s="80" t="str">
        <f>CCU!E956</f>
        <v>SINAPI.91786</v>
      </c>
      <c r="K137" s="237" t="s">
        <v>1085</v>
      </c>
    </row>
    <row r="138" spans="1:11" s="24" customFormat="1" x14ac:dyDescent="0.25">
      <c r="A138" s="248"/>
      <c r="B138" s="49" t="str">
        <f>CCU!B989</f>
        <v>1.9.2.3</v>
      </c>
      <c r="C138" s="89" t="str">
        <f>CCU!C989</f>
        <v>Tubo PVC série normal esgoto predial 40mm, incluso conexões, cortes e fixações</v>
      </c>
      <c r="D138" s="130" t="str">
        <f>CCU!G989</f>
        <v>m</v>
      </c>
      <c r="E138" s="126">
        <v>1</v>
      </c>
      <c r="F138" s="126">
        <f>CCU!G998</f>
        <v>14.894142</v>
      </c>
      <c r="G138" s="126">
        <f>CCU!G1005</f>
        <v>28.647348999999998</v>
      </c>
      <c r="H138" s="127">
        <f t="shared" si="12"/>
        <v>43.541491000000001</v>
      </c>
      <c r="I138" s="126">
        <f t="shared" si="13"/>
        <v>43.541491000000001</v>
      </c>
      <c r="J138" s="80" t="str">
        <f>CCU!E989</f>
        <v>SINAPI.91792</v>
      </c>
      <c r="K138" s="237" t="s">
        <v>1085</v>
      </c>
    </row>
    <row r="139" spans="1:11" s="24" customFormat="1" x14ac:dyDescent="0.25">
      <c r="A139" s="248"/>
      <c r="B139" s="49" t="str">
        <f>CCU!B1008</f>
        <v>1.9.2.4</v>
      </c>
      <c r="C139" s="89" t="str">
        <f>CCU!C1008</f>
        <v>Tubo PVC série normal esgoto predial 50mm, incluso conexões, cortes e fixações</v>
      </c>
      <c r="D139" s="130" t="str">
        <f>CCU!G1008</f>
        <v>m</v>
      </c>
      <c r="E139" s="126">
        <v>1</v>
      </c>
      <c r="F139" s="126">
        <f>CCU!G1017</f>
        <v>9.139818</v>
      </c>
      <c r="G139" s="126">
        <f>CCU!G1025</f>
        <v>53.222218999999996</v>
      </c>
      <c r="H139" s="127">
        <f t="shared" si="12"/>
        <v>62.362036999999994</v>
      </c>
      <c r="I139" s="126">
        <f t="shared" si="13"/>
        <v>62.362036999999994</v>
      </c>
      <c r="J139" s="80" t="str">
        <f>CCU!E1008</f>
        <v>SINAPI.91793</v>
      </c>
      <c r="K139" s="237" t="s">
        <v>1085</v>
      </c>
    </row>
    <row r="140" spans="1:11" s="24" customFormat="1" x14ac:dyDescent="0.25">
      <c r="A140" s="248"/>
      <c r="B140" s="49" t="str">
        <f>CCU!B1028</f>
        <v>1.9.2.5</v>
      </c>
      <c r="C140" s="89" t="str">
        <f>CCU!C1028</f>
        <v>Tubo PVC série normal esgoto predial 100mm, incluso conexões, cortes e fixações</v>
      </c>
      <c r="D140" s="130" t="str">
        <f>CCU!G1028</f>
        <v>m</v>
      </c>
      <c r="E140" s="126">
        <v>1</v>
      </c>
      <c r="F140" s="126">
        <f>CCU!G1035</f>
        <v>6.4441825000000001</v>
      </c>
      <c r="G140" s="126">
        <f>CCU!G1052</f>
        <v>39.270709000000004</v>
      </c>
      <c r="H140" s="127">
        <f t="shared" si="12"/>
        <v>45.714891500000007</v>
      </c>
      <c r="I140" s="126">
        <f t="shared" si="13"/>
        <v>45.714891500000007</v>
      </c>
      <c r="J140" s="80" t="str">
        <f>CCU!E1028</f>
        <v>SINAPI.91795</v>
      </c>
      <c r="K140" s="237" t="s">
        <v>1085</v>
      </c>
    </row>
    <row r="141" spans="1:11" s="24" customFormat="1" x14ac:dyDescent="0.25">
      <c r="A141" s="248"/>
      <c r="B141" s="49" t="str">
        <f>CCU!B1055</f>
        <v>1.9.2.6</v>
      </c>
      <c r="C141" s="89" t="str">
        <f>CCU!C1055</f>
        <v>Tubo PVC série R água pluvial 75mm, incluso conexões, cortes e fixações</v>
      </c>
      <c r="D141" s="130" t="str">
        <f>CCU!G1055</f>
        <v>m</v>
      </c>
      <c r="E141" s="126">
        <v>2</v>
      </c>
      <c r="F141" s="126">
        <f>CCU!G1061</f>
        <v>1.435665</v>
      </c>
      <c r="G141" s="126">
        <f>CCU!G1075</f>
        <v>24.235290000000003</v>
      </c>
      <c r="H141" s="127">
        <f t="shared" si="12"/>
        <v>25.670955000000003</v>
      </c>
      <c r="I141" s="126">
        <f t="shared" si="13"/>
        <v>51.341910000000006</v>
      </c>
      <c r="J141" s="80" t="str">
        <f>CCU!E1055</f>
        <v>SINAPI.91789</v>
      </c>
      <c r="K141" s="237" t="s">
        <v>1085</v>
      </c>
    </row>
    <row r="142" spans="1:11" s="24" customFormat="1" x14ac:dyDescent="0.25">
      <c r="A142" s="248"/>
      <c r="B142" s="49" t="str">
        <f>CCU!B1078</f>
        <v>1.9.2.7</v>
      </c>
      <c r="C142" s="89" t="str">
        <f>CCU!C1078</f>
        <v>Tubo PVC série R água pluvial 100mm, incluso conexões, cortes e fixações</v>
      </c>
      <c r="D142" s="130" t="str">
        <f>CCU!G1078</f>
        <v>m</v>
      </c>
      <c r="E142" s="126">
        <v>2</v>
      </c>
      <c r="F142" s="126">
        <f>CCU!G1085</f>
        <v>3.7760279999999997</v>
      </c>
      <c r="G142" s="126">
        <f>CCU!G1100</f>
        <v>34.609275000000004</v>
      </c>
      <c r="H142" s="127">
        <f t="shared" si="12"/>
        <v>38.385303</v>
      </c>
      <c r="I142" s="126">
        <f t="shared" si="13"/>
        <v>76.770606000000001</v>
      </c>
      <c r="J142" s="80" t="str">
        <f>CCU!E1078</f>
        <v>SINAPI.91790</v>
      </c>
      <c r="K142" s="237" t="s">
        <v>1085</v>
      </c>
    </row>
    <row r="143" spans="1:11" s="24" customFormat="1" ht="30" x14ac:dyDescent="0.25">
      <c r="A143" s="248"/>
      <c r="B143" s="49" t="str">
        <f>CCU!B1103</f>
        <v>1.9.2.8</v>
      </c>
      <c r="C143" s="86" t="str">
        <f>CCU!C1103</f>
        <v>Ponto de consumo de água fria, com tubulação PVC 25mm, incluso rasgo e chumbamento em alvenaria</v>
      </c>
      <c r="D143" s="130" t="str">
        <f>CCU!G1103</f>
        <v>um</v>
      </c>
      <c r="E143" s="126">
        <v>1</v>
      </c>
      <c r="F143" s="126">
        <f>CCU!G1108</f>
        <v>46.052800000000005</v>
      </c>
      <c r="G143" s="126">
        <f>CCU!G1114</f>
        <v>64.669000000000011</v>
      </c>
      <c r="H143" s="127">
        <f t="shared" ref="H143" si="14">F143+G143</f>
        <v>110.72180000000002</v>
      </c>
      <c r="I143" s="126">
        <f t="shared" ref="I143" si="15">H143*E143</f>
        <v>110.72180000000002</v>
      </c>
      <c r="J143" s="80" t="str">
        <f>CCU!E1103</f>
        <v>SINAPI.89957</v>
      </c>
      <c r="K143" s="237" t="s">
        <v>1084</v>
      </c>
    </row>
    <row r="144" spans="1:11" s="24" customFormat="1" x14ac:dyDescent="0.25">
      <c r="A144" s="248"/>
      <c r="B144" s="49" t="str">
        <f>CCU!B1117</f>
        <v>1.9.2.9</v>
      </c>
      <c r="C144" s="86" t="str">
        <f>CCU!C1117</f>
        <v>Ponto de esgoto,  incluso rasgo e chumbamento em alvenaria</v>
      </c>
      <c r="D144" s="130" t="str">
        <f>CCU!G1117</f>
        <v>unid.</v>
      </c>
      <c r="E144" s="126">
        <v>1</v>
      </c>
      <c r="F144" s="126">
        <f>CCU!G1123</f>
        <v>156.20500000000001</v>
      </c>
      <c r="G144" s="126">
        <f>CCU!G1136</f>
        <v>56.425559999999997</v>
      </c>
      <c r="H144" s="127">
        <f t="shared" ref="H144" si="16">F144+G144</f>
        <v>212.63056</v>
      </c>
      <c r="I144" s="126">
        <f t="shared" ref="I144" si="17">H144*E144</f>
        <v>212.63056</v>
      </c>
      <c r="J144" s="80" t="str">
        <f>CCU!E1104</f>
        <v>COEFICIENTE</v>
      </c>
      <c r="K144" s="237" t="s">
        <v>1084</v>
      </c>
    </row>
    <row r="145" spans="1:11" s="24" customFormat="1" x14ac:dyDescent="0.25">
      <c r="A145" s="248"/>
      <c r="B145" s="7" t="str">
        <f>CCU!B1139</f>
        <v>1.9.3</v>
      </c>
      <c r="C145" s="95" t="str">
        <f>CCU!C1139</f>
        <v>Equipamentos/Acessórios</v>
      </c>
      <c r="D145" s="63"/>
      <c r="E145" s="63"/>
      <c r="F145" s="63"/>
      <c r="G145" s="63"/>
      <c r="H145" s="134"/>
      <c r="I145" s="134"/>
      <c r="J145" s="63"/>
      <c r="K145" s="134"/>
    </row>
    <row r="146" spans="1:11" s="24" customFormat="1" x14ac:dyDescent="0.25">
      <c r="A146" s="248"/>
      <c r="B146" s="49" t="str">
        <f>CCU!B1140</f>
        <v>1.9.3.1</v>
      </c>
      <c r="C146" s="89" t="str">
        <f>CCU!C1140</f>
        <v>Caixa de hidrometro padrão CASAN</v>
      </c>
      <c r="D146" s="130" t="str">
        <f>CCU!G1140</f>
        <v>unid.</v>
      </c>
      <c r="E146" s="126">
        <v>1</v>
      </c>
      <c r="F146" s="126">
        <f>CCU!G1144</f>
        <v>14.867999999999999</v>
      </c>
      <c r="G146" s="126">
        <f>CCU!G1148</f>
        <v>61.633046</v>
      </c>
      <c r="H146" s="127">
        <f>F146+G146</f>
        <v>76.501046000000002</v>
      </c>
      <c r="I146" s="126">
        <f>H146*E146</f>
        <v>76.501046000000002</v>
      </c>
      <c r="J146" s="80" t="str">
        <f>CCU!E1140</f>
        <v xml:space="preserve"> COMP. PRÓPRIA </v>
      </c>
      <c r="K146" s="237" t="s">
        <v>1084</v>
      </c>
    </row>
    <row r="147" spans="1:11" s="24" customFormat="1" x14ac:dyDescent="0.25">
      <c r="A147" s="248"/>
      <c r="B147" s="49" t="str">
        <f>CCU!B1151</f>
        <v>1.9.3.2</v>
      </c>
      <c r="C147" s="89" t="str">
        <f>CCU!C1151</f>
        <v>Torneira de boia roscavel 3/4"</v>
      </c>
      <c r="D147" s="130" t="str">
        <f>CCU!G1151</f>
        <v>unid.</v>
      </c>
      <c r="E147" s="126">
        <v>1</v>
      </c>
      <c r="F147" s="126">
        <f>CCU!G1156</f>
        <v>7.7891200000000005</v>
      </c>
      <c r="G147" s="126">
        <f>CCU!G1160</f>
        <v>26.03641</v>
      </c>
      <c r="H147" s="127">
        <f>F147+G147</f>
        <v>33.825530000000001</v>
      </c>
      <c r="I147" s="126">
        <f>H147*E147</f>
        <v>33.825530000000001</v>
      </c>
      <c r="J147" s="80" t="str">
        <f>CCU!E1151</f>
        <v>SINAPI.94796</v>
      </c>
      <c r="K147" s="237" t="s">
        <v>1085</v>
      </c>
    </row>
    <row r="148" spans="1:11" s="24" customFormat="1" x14ac:dyDescent="0.25">
      <c r="A148" s="248"/>
      <c r="B148" s="49" t="str">
        <f>CCU!B1163</f>
        <v>1.9.3.3</v>
      </c>
      <c r="C148" s="86" t="str">
        <f>CCU!C1163</f>
        <v>Bomba de recalque dágua trifasica até 1,5 HP</v>
      </c>
      <c r="D148" s="130" t="str">
        <f>CCU!G1163</f>
        <v>unid.</v>
      </c>
      <c r="E148" s="126">
        <v>1</v>
      </c>
      <c r="F148" s="126">
        <f>CCU!G1168</f>
        <v>312.92999999999995</v>
      </c>
      <c r="G148" s="126">
        <f>CCU!G1171</f>
        <v>761.51</v>
      </c>
      <c r="H148" s="127">
        <f>F148+G148</f>
        <v>1074.44</v>
      </c>
      <c r="I148" s="126">
        <f>H148*E148</f>
        <v>1074.44</v>
      </c>
      <c r="J148" s="80" t="str">
        <f>CCU!E1163</f>
        <v>SINAPI.83647</v>
      </c>
      <c r="K148" s="237" t="s">
        <v>1086</v>
      </c>
    </row>
    <row r="149" spans="1:11" s="24" customFormat="1" x14ac:dyDescent="0.25">
      <c r="A149" s="248"/>
      <c r="B149" s="49" t="str">
        <f>CCU!B1174</f>
        <v>1.9.3.4</v>
      </c>
      <c r="C149" s="89" t="str">
        <f>CCU!C1174</f>
        <v>Conserto da bomba de recalque dágua trifasica até 1,5 HP  (50% do valor da bomba)</v>
      </c>
      <c r="D149" s="130" t="str">
        <f>CCU!G1174</f>
        <v>unid.</v>
      </c>
      <c r="E149" s="126">
        <v>1</v>
      </c>
      <c r="F149" s="126">
        <f>CCU!G1179</f>
        <v>156.46499999999997</v>
      </c>
      <c r="G149" s="126">
        <f>CCU!G1182</f>
        <v>380.755</v>
      </c>
      <c r="H149" s="127">
        <f>F149+G149</f>
        <v>537.22</v>
      </c>
      <c r="I149" s="126">
        <f>H149*E149</f>
        <v>537.22</v>
      </c>
      <c r="J149" s="49" t="str">
        <f>CCU!E1174</f>
        <v>CRITÉRIO TRF</v>
      </c>
      <c r="K149" s="237" t="s">
        <v>1086</v>
      </c>
    </row>
    <row r="150" spans="1:11" s="87" customFormat="1" x14ac:dyDescent="0.25">
      <c r="A150" s="88"/>
      <c r="B150" s="5" t="str">
        <f>CCU!B1185</f>
        <v>1.10</v>
      </c>
      <c r="C150" s="94" t="str">
        <f>CCU!C1185</f>
        <v>Instalações de prevenção e combate a incêndio</v>
      </c>
      <c r="D150" s="132"/>
      <c r="E150" s="132"/>
      <c r="F150" s="132"/>
      <c r="G150" s="132"/>
      <c r="H150" s="133"/>
      <c r="I150" s="133"/>
      <c r="J150" s="132"/>
      <c r="K150" s="133"/>
    </row>
    <row r="151" spans="1:11" s="24" customFormat="1" x14ac:dyDescent="0.25">
      <c r="A151" s="248"/>
      <c r="B151" s="7" t="str">
        <f>CCU!B1186</f>
        <v>1.10.2</v>
      </c>
      <c r="C151" s="95" t="str">
        <f>CCU!C1186</f>
        <v>Sensores, iluminação de emergência</v>
      </c>
      <c r="D151" s="63"/>
      <c r="E151" s="63"/>
      <c r="F151" s="63"/>
      <c r="G151" s="63"/>
      <c r="H151" s="134"/>
      <c r="I151" s="134"/>
      <c r="J151" s="63"/>
      <c r="K151" s="134"/>
    </row>
    <row r="152" spans="1:11" s="24" customFormat="1" x14ac:dyDescent="0.25">
      <c r="A152" s="248"/>
      <c r="B152" s="49" t="str">
        <f>CCU!B1187</f>
        <v>1.10.2.1</v>
      </c>
      <c r="C152" s="89" t="str">
        <f>CCU!C1187</f>
        <v>Luminária de emergência</v>
      </c>
      <c r="D152" s="130" t="str">
        <f>CCU!G1187</f>
        <v>unid.</v>
      </c>
      <c r="E152" s="126">
        <v>2</v>
      </c>
      <c r="F152" s="126">
        <f>CCU!G1192</f>
        <v>6.1057089999999992</v>
      </c>
      <c r="G152" s="126">
        <f>CCU!G1195</f>
        <v>30.22</v>
      </c>
      <c r="H152" s="127">
        <f>F152+G152</f>
        <v>36.325708999999996</v>
      </c>
      <c r="I152" s="126">
        <f>H152*E152</f>
        <v>72.651417999999993</v>
      </c>
      <c r="J152" s="49" t="str">
        <f>CCU!E1187</f>
        <v>SINAPI.97599</v>
      </c>
      <c r="K152" s="237" t="s">
        <v>1084</v>
      </c>
    </row>
    <row r="153" spans="1:11" s="87" customFormat="1" x14ac:dyDescent="0.25">
      <c r="A153" s="88"/>
      <c r="B153" s="5" t="str">
        <f>CCU!B1198</f>
        <v>1.11</v>
      </c>
      <c r="C153" s="94" t="str">
        <f>CCU!C1198</f>
        <v>Instalações Eletricas/Telefone/SPDA/Rede Estruturada/PABX</v>
      </c>
      <c r="D153" s="132"/>
      <c r="E153" s="132"/>
      <c r="F153" s="132"/>
      <c r="G153" s="132"/>
      <c r="H153" s="133"/>
      <c r="I153" s="133"/>
      <c r="J153" s="132"/>
      <c r="K153" s="133"/>
    </row>
    <row r="154" spans="1:11" s="24" customFormat="1" x14ac:dyDescent="0.25">
      <c r="A154" s="248"/>
      <c r="B154" s="7" t="str">
        <f>CCU!B1199</f>
        <v>1.11.1</v>
      </c>
      <c r="C154" s="95" t="str">
        <f>CCU!C1199</f>
        <v>Instalações Elétricas</v>
      </c>
      <c r="D154" s="63"/>
      <c r="E154" s="63"/>
      <c r="F154" s="63"/>
      <c r="G154" s="63"/>
      <c r="H154" s="134"/>
      <c r="I154" s="134"/>
      <c r="J154" s="63"/>
      <c r="K154" s="134"/>
    </row>
    <row r="155" spans="1:11" s="24" customFormat="1" x14ac:dyDescent="0.25">
      <c r="A155" s="248"/>
      <c r="B155" s="6" t="str">
        <f>CCU!B1200</f>
        <v>1.11.1.1</v>
      </c>
      <c r="C155" s="96" t="str">
        <f>CCU!C1200</f>
        <v>Luminárias/reatores/lâmpadas</v>
      </c>
      <c r="D155" s="128"/>
      <c r="E155" s="126"/>
      <c r="F155" s="126"/>
      <c r="G155" s="126"/>
      <c r="H155" s="127"/>
      <c r="I155" s="126"/>
      <c r="J155" s="49"/>
      <c r="K155" s="126"/>
    </row>
    <row r="156" spans="1:11" s="24" customFormat="1" x14ac:dyDescent="0.25">
      <c r="A156" s="248"/>
      <c r="B156" s="49" t="str">
        <f>CCU!B1201</f>
        <v>1.11.1.1.1</v>
      </c>
      <c r="C156" s="86" t="str">
        <f>CCU!C1201</f>
        <v>Lampada Fluorescente até 40W, incl. T5/T8/T10</v>
      </c>
      <c r="D156" s="130" t="str">
        <f>CCU!G1201</f>
        <v>unid.</v>
      </c>
      <c r="E156" s="126">
        <v>3</v>
      </c>
      <c r="F156" s="126">
        <f>CCU!G1205</f>
        <v>1.9930000000000001</v>
      </c>
      <c r="G156" s="126">
        <f>CCU!G1211</f>
        <v>9.1224999999999987</v>
      </c>
      <c r="H156" s="127">
        <f t="shared" ref="H156:H164" si="18">F156+G156</f>
        <v>11.115499999999999</v>
      </c>
      <c r="I156" s="126">
        <f t="shared" ref="I156" si="19">H156*E156</f>
        <v>33.346499999999999</v>
      </c>
      <c r="J156" s="49" t="str">
        <f>CCU!E1201</f>
        <v xml:space="preserve"> COMP. PRÓPRIA </v>
      </c>
      <c r="K156" s="237" t="s">
        <v>1084</v>
      </c>
    </row>
    <row r="157" spans="1:11" s="24" customFormat="1" x14ac:dyDescent="0.25">
      <c r="A157" s="248"/>
      <c r="B157" s="49" t="str">
        <f>CCU!B1214</f>
        <v>1.11.1.1.2</v>
      </c>
      <c r="C157" s="86" t="str">
        <f>CCU!C1214</f>
        <v>Lampada Fluorescente Compacta até 20W - Base E27</v>
      </c>
      <c r="D157" s="130" t="str">
        <f>CCU!G1214</f>
        <v>unid.</v>
      </c>
      <c r="E157" s="126">
        <v>3</v>
      </c>
      <c r="F157" s="126">
        <f>CCU!G1219</f>
        <v>5.6301750000000004</v>
      </c>
      <c r="G157" s="126">
        <f>CCU!G1224</f>
        <v>14.203333333333333</v>
      </c>
      <c r="H157" s="127">
        <f t="shared" si="18"/>
        <v>19.833508333333334</v>
      </c>
      <c r="I157" s="126">
        <f t="shared" ref="I157:I183" si="20">H157*E157</f>
        <v>59.500525000000003</v>
      </c>
      <c r="J157" s="49" t="str">
        <f>CCU!E1214</f>
        <v xml:space="preserve"> COMP. PRÓPRIA </v>
      </c>
      <c r="K157" s="237" t="s">
        <v>1084</v>
      </c>
    </row>
    <row r="158" spans="1:11" s="24" customFormat="1" x14ac:dyDescent="0.25">
      <c r="A158" s="248"/>
      <c r="B158" s="49" t="str">
        <f>CCU!B1227</f>
        <v>1.11.1.1.3</v>
      </c>
      <c r="C158" s="86" t="str">
        <f>CCU!C1227</f>
        <v>Lampada Fluorescente Espiral Branca até 65W - Base E27</v>
      </c>
      <c r="D158" s="130" t="str">
        <f>CCU!G1227</f>
        <v>unid.</v>
      </c>
      <c r="E158" s="126">
        <v>3</v>
      </c>
      <c r="F158" s="126">
        <f>CCU!G1231</f>
        <v>1.9930000000000001</v>
      </c>
      <c r="G158" s="126">
        <f>CCU!G1235</f>
        <v>75.010000000000005</v>
      </c>
      <c r="H158" s="127">
        <f t="shared" si="18"/>
        <v>77.003</v>
      </c>
      <c r="I158" s="126">
        <f t="shared" si="20"/>
        <v>231.00900000000001</v>
      </c>
      <c r="J158" s="49" t="str">
        <f>CCU!E1227</f>
        <v xml:space="preserve"> COMP. PRÓPRIA </v>
      </c>
      <c r="K158" s="237" t="s">
        <v>1084</v>
      </c>
    </row>
    <row r="159" spans="1:11" s="24" customFormat="1" x14ac:dyDescent="0.25">
      <c r="A159" s="248"/>
      <c r="B159" s="49" t="str">
        <f>CCU!B1238</f>
        <v>1.11.1.1.4</v>
      </c>
      <c r="C159" s="86" t="str">
        <f>CCU!C1238</f>
        <v>Lampada Led Tubular até 20W - Base G13</v>
      </c>
      <c r="D159" s="130" t="str">
        <f>CCU!G1238</f>
        <v>unid.</v>
      </c>
      <c r="E159" s="126">
        <v>3</v>
      </c>
      <c r="F159" s="126">
        <f>CCU!G1242</f>
        <v>1.9930000000000001</v>
      </c>
      <c r="G159" s="126">
        <f>CCU!G1246</f>
        <v>59.81</v>
      </c>
      <c r="H159" s="127">
        <f t="shared" si="18"/>
        <v>61.803000000000004</v>
      </c>
      <c r="I159" s="126">
        <f t="shared" si="20"/>
        <v>185.40900000000002</v>
      </c>
      <c r="J159" s="49" t="str">
        <f>CCU!E1238</f>
        <v xml:space="preserve"> COMP. PRÓPRIA </v>
      </c>
      <c r="K159" s="237" t="s">
        <v>1084</v>
      </c>
    </row>
    <row r="160" spans="1:11" s="24" customFormat="1" x14ac:dyDescent="0.25">
      <c r="A160" s="248"/>
      <c r="B160" s="49" t="str">
        <f>CCU!B1249</f>
        <v>1.11.1.1.5</v>
      </c>
      <c r="C160" s="86" t="str">
        <f>CCU!C1249</f>
        <v>Lampada Led  Formato Tradicional até 10W - Base E27</v>
      </c>
      <c r="D160" s="130" t="str">
        <f>CCU!G1249</f>
        <v>unid.</v>
      </c>
      <c r="E160" s="126">
        <v>3</v>
      </c>
      <c r="F160" s="126">
        <f>CCU!G1253</f>
        <v>1.9930000000000001</v>
      </c>
      <c r="G160" s="126">
        <f>CCU!G1257</f>
        <v>35.305</v>
      </c>
      <c r="H160" s="127">
        <f t="shared" si="18"/>
        <v>37.298000000000002</v>
      </c>
      <c r="I160" s="126">
        <f t="shared" si="20"/>
        <v>111.89400000000001</v>
      </c>
      <c r="J160" s="49" t="str">
        <f>CCU!E1249</f>
        <v xml:space="preserve"> COMP. PRÓPRIA </v>
      </c>
      <c r="K160" s="237" t="s">
        <v>1084</v>
      </c>
    </row>
    <row r="161" spans="1:11" s="24" customFormat="1" x14ac:dyDescent="0.25">
      <c r="A161" s="248"/>
      <c r="B161" s="49" t="str">
        <f>CCU!B1260</f>
        <v>1.11.1.1.6</v>
      </c>
      <c r="C161" s="86" t="str">
        <f>CCU!C1260</f>
        <v>Lampada Vapor de Sódio/Mercurio/Metálico até 400W - Base E27/E40</v>
      </c>
      <c r="D161" s="130" t="str">
        <f>CCU!G1260</f>
        <v>unid.</v>
      </c>
      <c r="E161" s="126">
        <v>3</v>
      </c>
      <c r="F161" s="126">
        <f>CCU!G1265</f>
        <v>13.692</v>
      </c>
      <c r="G161" s="126">
        <f>CCU!G1275</f>
        <v>52.615000000000002</v>
      </c>
      <c r="H161" s="127">
        <f t="shared" si="18"/>
        <v>66.307000000000002</v>
      </c>
      <c r="I161" s="126">
        <f t="shared" si="20"/>
        <v>198.92099999999999</v>
      </c>
      <c r="J161" s="49" t="str">
        <f>CCU!E1260</f>
        <v xml:space="preserve"> COMP. PRÓPRIA </v>
      </c>
      <c r="K161" s="237" t="s">
        <v>1084</v>
      </c>
    </row>
    <row r="162" spans="1:11" s="24" customFormat="1" x14ac:dyDescent="0.25">
      <c r="A162" s="248"/>
      <c r="B162" s="49" t="str">
        <f>CCU!B1278</f>
        <v>1.11.1.1.7</v>
      </c>
      <c r="C162" s="86" t="str">
        <f>CCU!C1278</f>
        <v>Reator Eletronico Bivolt para 1 Lampada Fluorescente de até 40 W</v>
      </c>
      <c r="D162" s="130" t="str">
        <f>CCU!G1278</f>
        <v>unid.</v>
      </c>
      <c r="E162" s="126">
        <v>1</v>
      </c>
      <c r="F162" s="126">
        <f>CCU!G1282</f>
        <v>11.569500000000001</v>
      </c>
      <c r="G162" s="126">
        <f>CCU!G1286</f>
        <v>14.734999999999999</v>
      </c>
      <c r="H162" s="127">
        <f t="shared" si="18"/>
        <v>26.304500000000001</v>
      </c>
      <c r="I162" s="126">
        <f t="shared" si="20"/>
        <v>26.304500000000001</v>
      </c>
      <c r="J162" s="49" t="str">
        <f>CCU!E1278</f>
        <v xml:space="preserve"> COMP. PRÓPRIA </v>
      </c>
      <c r="K162" s="237" t="s">
        <v>1084</v>
      </c>
    </row>
    <row r="163" spans="1:11" s="24" customFormat="1" x14ac:dyDescent="0.25">
      <c r="A163" s="248"/>
      <c r="B163" s="49" t="str">
        <f>CCU!B1289</f>
        <v>1.11.1.1.8</v>
      </c>
      <c r="C163" s="86" t="str">
        <f>CCU!C1289</f>
        <v>Reator Eletronico Bivolt para 2 Lampadas Fluorescentes de até 40 W</v>
      </c>
      <c r="D163" s="130" t="str">
        <f>CCU!G1289</f>
        <v>unid.</v>
      </c>
      <c r="E163" s="126">
        <v>1</v>
      </c>
      <c r="F163" s="126">
        <f>CCU!G1293</f>
        <v>11.569500000000001</v>
      </c>
      <c r="G163" s="126">
        <f>CCU!G1298</f>
        <v>22.536666666666665</v>
      </c>
      <c r="H163" s="127">
        <f t="shared" si="18"/>
        <v>34.106166666666667</v>
      </c>
      <c r="I163" s="126">
        <f t="shared" si="20"/>
        <v>34.106166666666667</v>
      </c>
      <c r="J163" s="49" t="str">
        <f>CCU!E1289</f>
        <v xml:space="preserve"> COMP. PRÓPRIA </v>
      </c>
      <c r="K163" s="237" t="s">
        <v>1084</v>
      </c>
    </row>
    <row r="164" spans="1:11" s="24" customFormat="1" x14ac:dyDescent="0.25">
      <c r="A164" s="248"/>
      <c r="B164" s="49" t="str">
        <f>CCU!B1301</f>
        <v>1.11.1.1.9</v>
      </c>
      <c r="C164" s="86" t="str">
        <f>CCU!C1301</f>
        <v>Reator para 1 Lampada Vapor de Sódio/Mercurio/Metálico até 400W - Uso Externo</v>
      </c>
      <c r="D164" s="130" t="str">
        <f>CCU!G1301</f>
        <v>unid.</v>
      </c>
      <c r="E164" s="126">
        <v>1</v>
      </c>
      <c r="F164" s="126">
        <f>CCU!G1306</f>
        <v>36.512</v>
      </c>
      <c r="G164" s="126">
        <f>CCU!G1313</f>
        <v>76.532000000000011</v>
      </c>
      <c r="H164" s="127">
        <f t="shared" si="18"/>
        <v>113.04400000000001</v>
      </c>
      <c r="I164" s="126">
        <f t="shared" si="20"/>
        <v>113.04400000000001</v>
      </c>
      <c r="J164" s="49" t="str">
        <f>CCU!E1301</f>
        <v xml:space="preserve"> COMP. PRÓPRIA </v>
      </c>
      <c r="K164" s="237" t="s">
        <v>1084</v>
      </c>
    </row>
    <row r="165" spans="1:11" s="24" customFormat="1" x14ac:dyDescent="0.25">
      <c r="A165" s="248"/>
      <c r="B165" s="6" t="str">
        <f>CCU!B1316</f>
        <v>1.11.1.2</v>
      </c>
      <c r="C165" s="96" t="str">
        <f>CCU!C1316</f>
        <v>Tomadas e interruptores</v>
      </c>
      <c r="D165" s="128"/>
      <c r="E165" s="126"/>
      <c r="F165" s="126"/>
      <c r="G165" s="126"/>
      <c r="H165" s="127"/>
      <c r="I165" s="126"/>
      <c r="J165" s="49"/>
      <c r="K165" s="126"/>
    </row>
    <row r="166" spans="1:11" s="24" customFormat="1" x14ac:dyDescent="0.25">
      <c r="A166" s="248"/>
      <c r="B166" s="49" t="str">
        <f>CCU!B1317</f>
        <v>1.11.1.2.1</v>
      </c>
      <c r="C166" s="89" t="str">
        <f>CCU!C1317</f>
        <v>Tomada 2P + T  20A/Interruptor Simples</v>
      </c>
      <c r="D166" s="130" t="str">
        <f>CCU!G1317</f>
        <v>unid.</v>
      </c>
      <c r="E166" s="126">
        <v>3</v>
      </c>
      <c r="F166" s="126">
        <f>CCU!G1322</f>
        <v>17.245160000000002</v>
      </c>
      <c r="G166" s="126">
        <f>CCU!G1328</f>
        <v>10.77</v>
      </c>
      <c r="H166" s="127">
        <f>F166+G166</f>
        <v>28.015160000000002</v>
      </c>
      <c r="I166" s="126">
        <f t="shared" si="20"/>
        <v>84.045479999999998</v>
      </c>
      <c r="J166" s="49" t="str">
        <f>CCU!E1317</f>
        <v xml:space="preserve"> COMP. PRÓPRIA </v>
      </c>
      <c r="K166" s="237" t="s">
        <v>1085</v>
      </c>
    </row>
    <row r="167" spans="1:11" s="24" customFormat="1" ht="30" x14ac:dyDescent="0.25">
      <c r="A167" s="248"/>
      <c r="B167" s="49" t="str">
        <f>CCU!B1331</f>
        <v>1.11.1.2.2</v>
      </c>
      <c r="C167" s="89" t="str">
        <f>CCU!C1331</f>
        <v>Ponto de iluminação e tomada, residencial, incluindo caixa elétrica, eletroduto, cabo, rasgo, quebra e chumbamento (excluindo luminária, lâmpada, tomada e interruptor)</v>
      </c>
      <c r="D167" s="130" t="str">
        <f>CCU!G1331</f>
        <v>unid.</v>
      </c>
      <c r="E167" s="126">
        <v>3</v>
      </c>
      <c r="F167" s="126">
        <f>CCU!G1337</f>
        <v>40.548000000000002</v>
      </c>
      <c r="G167" s="126">
        <f>CCU!G1345</f>
        <v>89.809749999999994</v>
      </c>
      <c r="H167" s="127">
        <f>F167+G167</f>
        <v>130.35775000000001</v>
      </c>
      <c r="I167" s="126">
        <f t="shared" si="20"/>
        <v>391.07325000000003</v>
      </c>
      <c r="J167" s="49" t="str">
        <f>CCU!E1331</f>
        <v xml:space="preserve"> COMP. PRÓPRIA </v>
      </c>
      <c r="K167" s="237" t="s">
        <v>1084</v>
      </c>
    </row>
    <row r="168" spans="1:11" s="24" customFormat="1" x14ac:dyDescent="0.25">
      <c r="A168" s="248"/>
      <c r="B168" s="6" t="str">
        <f>CCU!B1348</f>
        <v>1.11.1.5</v>
      </c>
      <c r="C168" s="96" t="str">
        <f>CCU!C1348</f>
        <v>Quadros, disjuntores</v>
      </c>
      <c r="D168" s="128"/>
      <c r="E168" s="126"/>
      <c r="F168" s="126"/>
      <c r="G168" s="126"/>
      <c r="H168" s="127"/>
      <c r="I168" s="126"/>
      <c r="J168" s="49"/>
      <c r="K168" s="237"/>
    </row>
    <row r="169" spans="1:11" s="24" customFormat="1" x14ac:dyDescent="0.25">
      <c r="A169" s="248"/>
      <c r="B169" s="49" t="str">
        <f>CCU!B1349</f>
        <v>1.11.1.5.1</v>
      </c>
      <c r="C169" s="89" t="str">
        <f>CCU!C1349</f>
        <v>Disjuntor termomagnetico monopolar padrao nema (americano) 10 a 30A 240V</v>
      </c>
      <c r="D169" s="130" t="str">
        <f>CCU!G1349</f>
        <v>unid.</v>
      </c>
      <c r="E169" s="126">
        <v>3</v>
      </c>
      <c r="F169" s="126">
        <f>CCU!G1353</f>
        <v>3.2137500000000001</v>
      </c>
      <c r="G169" s="126">
        <f>CCU!G1356</f>
        <v>14</v>
      </c>
      <c r="H169" s="127">
        <f t="shared" ref="H169:H170" si="21">F169+G169</f>
        <v>17.213750000000001</v>
      </c>
      <c r="I169" s="126">
        <f t="shared" si="20"/>
        <v>51.641249999999999</v>
      </c>
      <c r="J169" s="49" t="str">
        <f>CCU!E1349</f>
        <v>SINAPI.74130/1</v>
      </c>
      <c r="K169" s="237" t="s">
        <v>1085</v>
      </c>
    </row>
    <row r="170" spans="1:11" s="24" customFormat="1" x14ac:dyDescent="0.25">
      <c r="A170" s="248"/>
      <c r="B170" s="49" t="str">
        <f>CCU!B1359</f>
        <v>1.11.1.5.2</v>
      </c>
      <c r="C170" s="89" t="str">
        <f>CCU!C1359</f>
        <v>Disjuntor termomagnetico tripolar padrao nema (americano) 10 a 50A 240V</v>
      </c>
      <c r="D170" s="130" t="str">
        <f>CCU!G1359</f>
        <v>unid.</v>
      </c>
      <c r="E170" s="126">
        <v>1</v>
      </c>
      <c r="F170" s="126">
        <f>CCU!G1364</f>
        <v>18.256</v>
      </c>
      <c r="G170" s="126">
        <f>CCU!G1367</f>
        <v>93.98</v>
      </c>
      <c r="H170" s="127">
        <f t="shared" si="21"/>
        <v>112.236</v>
      </c>
      <c r="I170" s="126">
        <f t="shared" si="20"/>
        <v>112.236</v>
      </c>
      <c r="J170" s="49" t="str">
        <f>CCU!E1359</f>
        <v>SINAPI.74130/4</v>
      </c>
      <c r="K170" s="237" t="s">
        <v>1085</v>
      </c>
    </row>
    <row r="171" spans="1:11" s="24" customFormat="1" x14ac:dyDescent="0.25">
      <c r="A171" s="247"/>
      <c r="B171" s="7" t="str">
        <f>CCU!B1370</f>
        <v>1.11.2</v>
      </c>
      <c r="C171" s="95" t="str">
        <f>CCU!C1370</f>
        <v>SPDA</v>
      </c>
      <c r="D171" s="63"/>
      <c r="E171" s="63"/>
      <c r="F171" s="63"/>
      <c r="G171" s="63"/>
      <c r="H171" s="134"/>
      <c r="I171" s="134"/>
      <c r="J171" s="63"/>
      <c r="K171" s="134"/>
    </row>
    <row r="172" spans="1:11" s="24" customFormat="1" x14ac:dyDescent="0.25">
      <c r="A172" s="247"/>
      <c r="B172" s="6" t="str">
        <f>CCU!B1371</f>
        <v>1.11.2.1</v>
      </c>
      <c r="C172" s="89" t="str">
        <f>CCU!C1371</f>
        <v xml:space="preserve">Cordoalha de cobre nu 70 mm², não enterrada, com isolador </v>
      </c>
      <c r="D172" s="130" t="str">
        <f>CCU!G1371</f>
        <v>m</v>
      </c>
      <c r="E172" s="126">
        <v>10</v>
      </c>
      <c r="F172" s="126">
        <f>CCU!G1376</f>
        <v>17.927392000000001</v>
      </c>
      <c r="G172" s="126">
        <f>CCU!G1380</f>
        <v>39.558999999999997</v>
      </c>
      <c r="H172" s="127">
        <f>F172+G172</f>
        <v>57.486391999999995</v>
      </c>
      <c r="I172" s="126">
        <f t="shared" si="20"/>
        <v>574.86392000000001</v>
      </c>
      <c r="J172" s="49" t="str">
        <f>CCU!E1371</f>
        <v>SINAPI.96975</v>
      </c>
      <c r="K172" s="238" t="s">
        <v>1084</v>
      </c>
    </row>
    <row r="173" spans="1:11" s="24" customFormat="1" x14ac:dyDescent="0.25">
      <c r="A173" s="247"/>
      <c r="B173" s="6" t="str">
        <f>CCU!B1383</f>
        <v>1.11.2.2</v>
      </c>
      <c r="C173" s="89" t="str">
        <f>CCU!C1383</f>
        <v>Captor tipo Franklin para SPDA</v>
      </c>
      <c r="D173" s="130" t="str">
        <f>CCU!G1383</f>
        <v>unid.</v>
      </c>
      <c r="E173" s="126">
        <v>1</v>
      </c>
      <c r="F173" s="126">
        <f>CCU!G1388</f>
        <v>5.7688960000000007</v>
      </c>
      <c r="G173" s="126">
        <f>CCU!G1391</f>
        <v>63.6</v>
      </c>
      <c r="H173" s="127">
        <f>F173+G173</f>
        <v>69.368896000000007</v>
      </c>
      <c r="I173" s="126">
        <f t="shared" si="20"/>
        <v>69.368896000000007</v>
      </c>
      <c r="J173" s="49" t="str">
        <f>CCU!E1383</f>
        <v>SINAPI.96989</v>
      </c>
      <c r="K173" s="238" t="s">
        <v>1084</v>
      </c>
    </row>
    <row r="174" spans="1:11" s="24" customFormat="1" x14ac:dyDescent="0.25">
      <c r="A174" s="247"/>
      <c r="B174" s="7" t="str">
        <f>CCU!B1394</f>
        <v>1.11.3</v>
      </c>
      <c r="C174" s="95" t="str">
        <f>CCU!C1394</f>
        <v>Rede estruturada</v>
      </c>
      <c r="D174" s="63"/>
      <c r="E174" s="63"/>
      <c r="F174" s="63"/>
      <c r="G174" s="63"/>
      <c r="H174" s="134"/>
      <c r="I174" s="134"/>
      <c r="J174" s="63"/>
      <c r="K174" s="134"/>
    </row>
    <row r="175" spans="1:11" s="24" customFormat="1" x14ac:dyDescent="0.25">
      <c r="A175" s="247"/>
      <c r="B175" s="49" t="str">
        <f>CCU!B1395</f>
        <v>1.11.3.1</v>
      </c>
      <c r="C175" s="89" t="str">
        <f>CCU!C1395</f>
        <v>Tomada RJ-45</v>
      </c>
      <c r="D175" s="130" t="str">
        <f>CCU!G1395</f>
        <v>unid.</v>
      </c>
      <c r="E175" s="126">
        <v>2</v>
      </c>
      <c r="F175" s="126">
        <f>CCU!G1400</f>
        <v>11.41</v>
      </c>
      <c r="G175" s="126">
        <f>CCU!G1403</f>
        <v>29.95</v>
      </c>
      <c r="H175" s="127">
        <f>F175+G175</f>
        <v>41.36</v>
      </c>
      <c r="I175" s="126">
        <f t="shared" si="20"/>
        <v>82.72</v>
      </c>
      <c r="J175" s="49" t="str">
        <f>CCU!E1395</f>
        <v xml:space="preserve"> COMP. PRÓPRIA </v>
      </c>
      <c r="K175" s="238" t="s">
        <v>1084</v>
      </c>
    </row>
    <row r="176" spans="1:11" s="24" customFormat="1" x14ac:dyDescent="0.25">
      <c r="A176" s="247"/>
      <c r="B176" s="49" t="str">
        <f>CCU!B1406</f>
        <v>1.11.3.2</v>
      </c>
      <c r="C176" s="89" t="str">
        <f>CCU!C1406</f>
        <v>Patch cord, Categoria 6, extensão de 2,5m, somente fornecimento</v>
      </c>
      <c r="D176" s="130" t="str">
        <f>CCU!G1406</f>
        <v>unid.</v>
      </c>
      <c r="E176" s="126">
        <v>2</v>
      </c>
      <c r="F176" s="126"/>
      <c r="G176" s="126">
        <f>CCU!G1410</f>
        <v>17.55</v>
      </c>
      <c r="H176" s="127">
        <f>F176+G176</f>
        <v>17.55</v>
      </c>
      <c r="I176" s="126">
        <f t="shared" si="20"/>
        <v>35.1</v>
      </c>
      <c r="J176" s="49" t="str">
        <f>CCU!E1406</f>
        <v>SINAPI.39607</v>
      </c>
      <c r="K176" s="238" t="s">
        <v>1084</v>
      </c>
    </row>
    <row r="177" spans="1:13" s="24" customFormat="1" x14ac:dyDescent="0.25">
      <c r="A177" s="247"/>
      <c r="B177" s="49" t="str">
        <f>CCU!B1413</f>
        <v>1.11.3.3</v>
      </c>
      <c r="C177" s="89" t="str">
        <f>CCU!C1413</f>
        <v>Patch cord, Categoria 6, extensão de 10m, somente fornecimento</v>
      </c>
      <c r="D177" s="130" t="str">
        <f>CCU!G1413</f>
        <v>unid.</v>
      </c>
      <c r="E177" s="126">
        <v>2</v>
      </c>
      <c r="F177" s="126"/>
      <c r="G177" s="126">
        <f>CCU!G1416</f>
        <v>29.4375</v>
      </c>
      <c r="H177" s="127">
        <f t="shared" ref="H177" si="22">F177+G177</f>
        <v>29.4375</v>
      </c>
      <c r="I177" s="126">
        <f t="shared" si="20"/>
        <v>58.875</v>
      </c>
      <c r="J177" s="49" t="str">
        <f>CCU!E1413</f>
        <v>MERCADO</v>
      </c>
      <c r="K177" s="238" t="s">
        <v>1084</v>
      </c>
    </row>
    <row r="178" spans="1:13" s="24" customFormat="1" x14ac:dyDescent="0.25">
      <c r="A178" s="247"/>
      <c r="B178" s="49" t="str">
        <f>CCU!B1420</f>
        <v>1.11.3.4</v>
      </c>
      <c r="C178" s="89" t="str">
        <f>CCU!C1420</f>
        <v>Organizador de cabos, somente fornecimento</v>
      </c>
      <c r="D178" s="130" t="str">
        <f>CCU!G1420</f>
        <v>unid.</v>
      </c>
      <c r="E178" s="126">
        <v>2</v>
      </c>
      <c r="F178" s="126"/>
      <c r="G178" s="126">
        <f>CCU!G1424</f>
        <v>64.344999999999999</v>
      </c>
      <c r="H178" s="127">
        <f t="shared" ref="H178" si="23">F178+G178</f>
        <v>64.344999999999999</v>
      </c>
      <c r="I178" s="126">
        <f t="shared" si="20"/>
        <v>128.69</v>
      </c>
      <c r="J178" s="49" t="str">
        <f>CCU!E1420</f>
        <v>MERCADO</v>
      </c>
      <c r="K178" s="238" t="s">
        <v>1084</v>
      </c>
    </row>
    <row r="179" spans="1:13" s="24" customFormat="1" x14ac:dyDescent="0.25">
      <c r="A179" s="247"/>
      <c r="B179" s="7" t="str">
        <f>CCU!B1427</f>
        <v>1.11.4</v>
      </c>
      <c r="C179" s="95" t="str">
        <f>CCU!C1427</f>
        <v>Central de PABX</v>
      </c>
      <c r="D179" s="63"/>
      <c r="E179" s="63"/>
      <c r="F179" s="63"/>
      <c r="G179" s="63"/>
      <c r="H179" s="134"/>
      <c r="I179" s="134"/>
      <c r="J179" s="63"/>
      <c r="K179" s="134"/>
    </row>
    <row r="180" spans="1:13" s="24" customFormat="1" x14ac:dyDescent="0.25">
      <c r="A180" s="247"/>
      <c r="B180" s="49" t="str">
        <f>CCU!B1428</f>
        <v>1.11.4.1</v>
      </c>
      <c r="C180" s="89" t="str">
        <f>CCU!C1428</f>
        <v xml:space="preserve">Configuração de central telefonica e/ou reinstalação e configuração de software </v>
      </c>
      <c r="D180" s="130" t="str">
        <f>CCU!G1428</f>
        <v>serv</v>
      </c>
      <c r="E180" s="126">
        <v>1</v>
      </c>
      <c r="F180" s="126">
        <f>CCU!G1433</f>
        <v>400</v>
      </c>
      <c r="G180" s="126"/>
      <c r="H180" s="127">
        <f>F180+G180</f>
        <v>400</v>
      </c>
      <c r="I180" s="126">
        <f t="shared" si="20"/>
        <v>400</v>
      </c>
      <c r="J180" s="49" t="str">
        <f>CCU!E1428</f>
        <v xml:space="preserve"> COMP. PRÓPRIA </v>
      </c>
      <c r="K180" s="237" t="s">
        <v>1085</v>
      </c>
    </row>
    <row r="181" spans="1:13" s="24" customFormat="1" x14ac:dyDescent="0.25">
      <c r="A181" s="247"/>
      <c r="B181" s="49" t="str">
        <f>CCU!B1436</f>
        <v>1.11.4.3</v>
      </c>
      <c r="C181" s="89" t="str">
        <f>CCU!C1436</f>
        <v>Cabo para telefonia espiral 1,80m, somente fornecimento</v>
      </c>
      <c r="D181" s="130" t="str">
        <f>CCU!G1436</f>
        <v>unid.</v>
      </c>
      <c r="E181" s="126">
        <v>4</v>
      </c>
      <c r="F181" s="126"/>
      <c r="G181" s="126">
        <f>CCU!F1439</f>
        <v>5.6</v>
      </c>
      <c r="H181" s="127">
        <f>F181+G181</f>
        <v>5.6</v>
      </c>
      <c r="I181" s="126">
        <f t="shared" ref="I181" si="24">H181*E181</f>
        <v>22.4</v>
      </c>
      <c r="J181" s="49" t="str">
        <f>CCU!E1436</f>
        <v>MERCADO</v>
      </c>
      <c r="K181" s="237" t="s">
        <v>1084</v>
      </c>
    </row>
    <row r="182" spans="1:13" s="87" customFormat="1" x14ac:dyDescent="0.25">
      <c r="A182" s="88"/>
      <c r="B182" s="5" t="str">
        <f>CCU!B1443</f>
        <v>1.12</v>
      </c>
      <c r="C182" s="94" t="str">
        <f>CCU!C1443</f>
        <v>Instalações de Ar Condicionado</v>
      </c>
      <c r="D182" s="5"/>
      <c r="E182" s="12"/>
      <c r="F182" s="12"/>
      <c r="G182" s="12"/>
      <c r="H182" s="12"/>
      <c r="I182" s="12"/>
      <c r="J182" s="5"/>
      <c r="K182" s="12"/>
    </row>
    <row r="183" spans="1:13" s="24" customFormat="1" x14ac:dyDescent="0.25">
      <c r="A183" s="247"/>
      <c r="B183" s="49" t="str">
        <f>CCU!B1444</f>
        <v>1.12.1</v>
      </c>
      <c r="C183" s="86" t="str">
        <f>CCU!C1444</f>
        <v>Manutenção Corretiva</v>
      </c>
      <c r="D183" s="130" t="str">
        <f>CCU!G1444</f>
        <v>visita</v>
      </c>
      <c r="E183" s="131">
        <v>1</v>
      </c>
      <c r="F183" s="131">
        <f>CCU!G1449</f>
        <v>307.8</v>
      </c>
      <c r="G183" s="131">
        <f>CCU!G1452</f>
        <v>61.56</v>
      </c>
      <c r="H183" s="127">
        <f>F183+G183</f>
        <v>369.36</v>
      </c>
      <c r="I183" s="126">
        <f t="shared" si="20"/>
        <v>369.36</v>
      </c>
      <c r="J183" s="49" t="str">
        <f>CCU!E1444</f>
        <v xml:space="preserve"> COMP. PRÓPRIA </v>
      </c>
      <c r="K183" s="126" t="s">
        <v>1085</v>
      </c>
      <c r="L183" s="10"/>
      <c r="M183" s="10"/>
    </row>
    <row r="184" spans="1:13" s="87" customFormat="1" x14ac:dyDescent="0.25">
      <c r="A184" s="88"/>
      <c r="B184" s="5" t="str">
        <f>CCU!B1455</f>
        <v>1.13</v>
      </c>
      <c r="C184" s="94" t="str">
        <f>CCU!C1455</f>
        <v>Deslocamento/Visita técnica</v>
      </c>
      <c r="D184" s="5"/>
      <c r="E184" s="12"/>
      <c r="F184" s="12"/>
      <c r="G184" s="12"/>
      <c r="H184" s="12"/>
      <c r="I184" s="12"/>
      <c r="J184" s="5"/>
      <c r="K184" s="12"/>
    </row>
    <row r="185" spans="1:13" s="24" customFormat="1" x14ac:dyDescent="0.25">
      <c r="A185" s="247"/>
      <c r="B185" s="49" t="str">
        <f>CCU!B1456</f>
        <v>1.13.1</v>
      </c>
      <c r="C185" s="86" t="str">
        <f>CCU!C1456</f>
        <v>Deslocamento minimo para serviços eventuais</v>
      </c>
      <c r="D185" s="130" t="str">
        <f>CCU!G1456</f>
        <v>visita</v>
      </c>
      <c r="E185" s="131">
        <v>2</v>
      </c>
      <c r="F185" s="131">
        <f>CCU!G1462</f>
        <v>204.9</v>
      </c>
      <c r="G185" s="131">
        <f>CCU!G1465</f>
        <v>20</v>
      </c>
      <c r="H185" s="127">
        <f>F185+G185</f>
        <v>224.9</v>
      </c>
      <c r="I185" s="126">
        <f t="shared" ref="I185" si="25">H185*E185</f>
        <v>449.8</v>
      </c>
      <c r="J185" s="49" t="str">
        <f>CCU!E1456</f>
        <v xml:space="preserve"> COMP. PRÓPRIA </v>
      </c>
      <c r="K185" s="126" t="s">
        <v>1085</v>
      </c>
      <c r="L185" s="10"/>
      <c r="M185" s="10"/>
    </row>
    <row r="186" spans="1:13" s="24" customFormat="1" ht="18.75" x14ac:dyDescent="0.25">
      <c r="A186" s="247"/>
      <c r="B186" s="348" t="s">
        <v>1079</v>
      </c>
      <c r="C186" s="348"/>
      <c r="D186" s="348"/>
      <c r="E186" s="348"/>
      <c r="F186" s="231">
        <f>SUMPRODUCT(E9:E185,F9:F185)</f>
        <v>7616.9937372280619</v>
      </c>
      <c r="G186" s="231">
        <f>SUMPRODUCT(E9:E185,G9:G185)</f>
        <v>14485.268153024808</v>
      </c>
      <c r="H186" s="231"/>
      <c r="I186" s="231">
        <f>SUM(I9:I185)</f>
        <v>22102.26189025287</v>
      </c>
      <c r="J186" s="232"/>
      <c r="K186" s="232"/>
      <c r="L186" s="120"/>
      <c r="M186" s="120"/>
    </row>
    <row r="187" spans="1:13" s="91" customFormat="1" ht="18.75" x14ac:dyDescent="0.25">
      <c r="A187" s="247"/>
      <c r="B187" s="90">
        <f>CCU!B1468</f>
        <v>2</v>
      </c>
      <c r="C187" s="93" t="str">
        <f>CCU!C1468</f>
        <v>MANUTENÇÃO PREVENTIVA</v>
      </c>
      <c r="D187" s="90"/>
      <c r="E187" s="90"/>
      <c r="F187" s="90"/>
      <c r="G187" s="90"/>
      <c r="H187" s="90"/>
      <c r="I187" s="90"/>
      <c r="J187" s="230"/>
      <c r="K187" s="90"/>
    </row>
    <row r="188" spans="1:13" s="24" customFormat="1" x14ac:dyDescent="0.25">
      <c r="A188" s="247"/>
      <c r="B188" s="5" t="str">
        <f>CCU!B1469</f>
        <v>2.1</v>
      </c>
      <c r="C188" s="94" t="str">
        <f>CCU!C1469</f>
        <v>SERVIÇO INICIAL</v>
      </c>
      <c r="D188" s="5"/>
      <c r="E188" s="12"/>
      <c r="F188" s="12"/>
      <c r="G188" s="12"/>
      <c r="H188" s="12"/>
      <c r="I188" s="12"/>
      <c r="J188" s="5"/>
      <c r="K188" s="12"/>
    </row>
    <row r="189" spans="1:13" s="24" customFormat="1" x14ac:dyDescent="0.25">
      <c r="A189" s="247"/>
      <c r="B189" s="8" t="str">
        <f>CCU!B1470</f>
        <v>2.1.9</v>
      </c>
      <c r="C189" s="96" t="str">
        <f>CCU!C1470</f>
        <v>Instalações de Ar Condicionado</v>
      </c>
      <c r="D189" s="4"/>
      <c r="E189" s="11"/>
      <c r="F189" s="11"/>
      <c r="G189" s="11"/>
      <c r="H189" s="14"/>
      <c r="I189" s="11"/>
      <c r="J189" s="4"/>
      <c r="K189" s="15"/>
    </row>
    <row r="190" spans="1:13" s="24" customFormat="1" x14ac:dyDescent="0.25">
      <c r="A190" s="247"/>
      <c r="B190" s="49" t="str">
        <f>CCU!B1471</f>
        <v>2.1.9.1</v>
      </c>
      <c r="C190" s="86" t="str">
        <f>CCU!C1471</f>
        <v xml:space="preserve">Elaboração PMOC </v>
      </c>
      <c r="D190" s="130" t="str">
        <f>CCU!G1471</f>
        <v>serv</v>
      </c>
      <c r="E190" s="131">
        <v>1</v>
      </c>
      <c r="F190" s="126">
        <f>CCU!G1475</f>
        <v>524.35</v>
      </c>
      <c r="G190" s="131">
        <f>CCU!G1478</f>
        <v>82.94</v>
      </c>
      <c r="H190" s="127">
        <f>F190+G190</f>
        <v>607.29</v>
      </c>
      <c r="I190" s="126">
        <f>H190*E190</f>
        <v>607.29</v>
      </c>
      <c r="J190" s="49" t="str">
        <f>CCU!E1471</f>
        <v xml:space="preserve"> COMP. PRÓPRIA </v>
      </c>
      <c r="K190" s="126" t="s">
        <v>1087</v>
      </c>
    </row>
    <row r="191" spans="1:13" s="87" customFormat="1" x14ac:dyDescent="0.25">
      <c r="A191" s="247"/>
      <c r="B191" s="5" t="str">
        <f>CCU!B1481</f>
        <v>2.2</v>
      </c>
      <c r="C191" s="94" t="str">
        <f>CCU!C1481</f>
        <v>MENSAL</v>
      </c>
      <c r="D191" s="5"/>
      <c r="E191" s="12"/>
      <c r="F191" s="12"/>
      <c r="G191" s="12"/>
      <c r="H191" s="12"/>
      <c r="I191" s="12"/>
      <c r="J191" s="5"/>
      <c r="K191" s="12"/>
    </row>
    <row r="192" spans="1:13" s="24" customFormat="1" x14ac:dyDescent="0.25">
      <c r="A192" s="247"/>
      <c r="B192" s="8" t="str">
        <f>CCU!B1482</f>
        <v>2.2.6</v>
      </c>
      <c r="C192" s="96" t="str">
        <f>CCU!C1482</f>
        <v>Instalações Hidrossanitárias e de GLP</v>
      </c>
      <c r="D192" s="129"/>
      <c r="E192" s="126"/>
      <c r="F192" s="126"/>
      <c r="G192" s="126"/>
      <c r="H192" s="127"/>
      <c r="I192" s="126"/>
      <c r="J192" s="81"/>
      <c r="K192" s="131"/>
    </row>
    <row r="193" spans="1:11" s="24" customFormat="1" x14ac:dyDescent="0.25">
      <c r="A193" s="247"/>
      <c r="B193" s="49" t="str">
        <f>CCU!B1483</f>
        <v>2.2.6.1</v>
      </c>
      <c r="C193" s="86" t="str">
        <f>CCU!C1483</f>
        <v xml:space="preserve">Verificação de vazamentos e demais condições das instalações de GLP </v>
      </c>
      <c r="D193" s="125" t="str">
        <f>CCU!G1483</f>
        <v>visita</v>
      </c>
      <c r="E193" s="126">
        <f>1*12</f>
        <v>12</v>
      </c>
      <c r="F193" s="126">
        <f>CCU!G1489</f>
        <v>54.175000000000004</v>
      </c>
      <c r="G193" s="126"/>
      <c r="H193" s="127">
        <f t="shared" ref="H193:H197" si="26">F193+G193</f>
        <v>54.175000000000004</v>
      </c>
      <c r="I193" s="126">
        <f t="shared" ref="I193:I197" si="27">H193*E193</f>
        <v>650.1</v>
      </c>
      <c r="J193" s="81" t="str">
        <f>CCU!E1483</f>
        <v xml:space="preserve"> COMP. PRÓPRIA </v>
      </c>
      <c r="K193" s="126" t="s">
        <v>1087</v>
      </c>
    </row>
    <row r="194" spans="1:11" s="24" customFormat="1" x14ac:dyDescent="0.25">
      <c r="A194" s="247"/>
      <c r="B194" s="8" t="str">
        <f>CCU!B1490</f>
        <v>2.2.7</v>
      </c>
      <c r="C194" s="96" t="str">
        <f>CCU!C1490</f>
        <v>Instalações de prevenção e combate a incêndio</v>
      </c>
      <c r="D194" s="129"/>
      <c r="E194" s="126"/>
      <c r="F194" s="126"/>
      <c r="G194" s="126"/>
      <c r="H194" s="127"/>
      <c r="I194" s="126"/>
      <c r="J194" s="81"/>
      <c r="K194" s="131"/>
    </row>
    <row r="195" spans="1:11" s="24" customFormat="1" x14ac:dyDescent="0.25">
      <c r="A195" s="247"/>
      <c r="B195" s="49" t="str">
        <f>CCU!B1491</f>
        <v>2.2.7.1</v>
      </c>
      <c r="C195" s="86" t="str">
        <f>CCU!C1491</f>
        <v>Teste das bombas de incêndio/verificação de válvulas fechadas</v>
      </c>
      <c r="D195" s="125" t="str">
        <f>CCU!G1491</f>
        <v>visita</v>
      </c>
      <c r="E195" s="126">
        <v>12</v>
      </c>
      <c r="F195" s="126">
        <f>CCU!G1497</f>
        <v>119.185</v>
      </c>
      <c r="G195" s="126"/>
      <c r="H195" s="127">
        <f t="shared" si="26"/>
        <v>119.185</v>
      </c>
      <c r="I195" s="126">
        <f t="shared" si="27"/>
        <v>1430.22</v>
      </c>
      <c r="J195" s="81" t="str">
        <f>CCU!E1491</f>
        <v xml:space="preserve"> COMP. PRÓPRIA </v>
      </c>
      <c r="K195" s="126" t="s">
        <v>1087</v>
      </c>
    </row>
    <row r="196" spans="1:11" s="24" customFormat="1" x14ac:dyDescent="0.25">
      <c r="A196" s="247"/>
      <c r="B196" s="8" t="s">
        <v>114</v>
      </c>
      <c r="C196" s="96" t="s">
        <v>29</v>
      </c>
      <c r="D196" s="129"/>
      <c r="E196" s="126"/>
      <c r="F196" s="126"/>
      <c r="G196" s="126"/>
      <c r="H196" s="127"/>
      <c r="I196" s="126"/>
      <c r="J196" s="81"/>
      <c r="K196" s="131"/>
    </row>
    <row r="197" spans="1:11" s="24" customFormat="1" x14ac:dyDescent="0.25">
      <c r="A197" s="247"/>
      <c r="B197" s="49" t="s">
        <v>175</v>
      </c>
      <c r="C197" s="86" t="s">
        <v>368</v>
      </c>
      <c r="D197" s="129" t="s">
        <v>370</v>
      </c>
      <c r="E197" s="126">
        <v>12</v>
      </c>
      <c r="F197" s="126">
        <f>'Ar Cond-SC'!U16</f>
        <v>1133.049</v>
      </c>
      <c r="G197" s="131">
        <f>0.1*F197</f>
        <v>113.3049</v>
      </c>
      <c r="H197" s="127">
        <f t="shared" si="26"/>
        <v>1246.3539000000001</v>
      </c>
      <c r="I197" s="126">
        <f t="shared" si="27"/>
        <v>14956.246800000001</v>
      </c>
      <c r="J197" s="81" t="s">
        <v>193</v>
      </c>
      <c r="K197" s="126" t="s">
        <v>1087</v>
      </c>
    </row>
    <row r="198" spans="1:11" s="87" customFormat="1" x14ac:dyDescent="0.25">
      <c r="A198" s="247"/>
      <c r="B198" s="5" t="str">
        <f>CCU!B1498</f>
        <v>2.4</v>
      </c>
      <c r="C198" s="94" t="str">
        <f>CCU!C1498</f>
        <v>SEMESTRAL</v>
      </c>
      <c r="D198" s="132"/>
      <c r="E198" s="133"/>
      <c r="F198" s="133"/>
      <c r="G198" s="133"/>
      <c r="H198" s="133"/>
      <c r="I198" s="12"/>
      <c r="J198" s="132"/>
      <c r="K198" s="133"/>
    </row>
    <row r="199" spans="1:11" s="24" customFormat="1" x14ac:dyDescent="0.25">
      <c r="A199" s="247"/>
      <c r="B199" s="8" t="str">
        <f>CCU!B1499</f>
        <v>2.4.6</v>
      </c>
      <c r="C199" s="96" t="str">
        <f>CCU!C1499</f>
        <v>Instalações Hidrossanitárias e de GLP</v>
      </c>
      <c r="D199" s="128"/>
      <c r="E199" s="131"/>
      <c r="F199" s="131"/>
      <c r="G199" s="131"/>
      <c r="H199" s="127"/>
      <c r="I199" s="126"/>
      <c r="J199" s="49"/>
      <c r="K199" s="126"/>
    </row>
    <row r="200" spans="1:11" s="24" customFormat="1" x14ac:dyDescent="0.25">
      <c r="A200" s="247"/>
      <c r="B200" s="81" t="str">
        <f>CCU!B1500</f>
        <v>2.4.6.1</v>
      </c>
      <c r="C200" s="86" t="str">
        <f>CCU!C1500</f>
        <v>Limpeza de calhas da cobertura</v>
      </c>
      <c r="D200" s="125" t="str">
        <f>CCU!G1500</f>
        <v>visita</v>
      </c>
      <c r="E200" s="126">
        <v>2</v>
      </c>
      <c r="F200" s="131">
        <f>CCU!G1505</f>
        <v>75.900000000000006</v>
      </c>
      <c r="G200" s="126"/>
      <c r="H200" s="127">
        <f t="shared" ref="H200" si="28">F200+G200</f>
        <v>75.900000000000006</v>
      </c>
      <c r="I200" s="126">
        <f t="shared" ref="I200" si="29">H200*E200</f>
        <v>151.80000000000001</v>
      </c>
      <c r="J200" s="49" t="str">
        <f>CCU!E1500</f>
        <v xml:space="preserve"> COMP. PRÓPRIA </v>
      </c>
      <c r="K200" s="126" t="s">
        <v>1087</v>
      </c>
    </row>
    <row r="201" spans="1:11" s="24" customFormat="1" x14ac:dyDescent="0.25">
      <c r="A201" s="247"/>
      <c r="B201" s="8" t="str">
        <f>CCU!B1508</f>
        <v>2.4.7</v>
      </c>
      <c r="C201" s="96" t="str">
        <f>CCU!C1508</f>
        <v>Instalações de prevenção e combate a incêndio</v>
      </c>
      <c r="D201" s="128"/>
      <c r="E201" s="131"/>
      <c r="F201" s="131"/>
      <c r="G201" s="131"/>
      <c r="H201" s="127"/>
      <c r="I201" s="126"/>
      <c r="J201" s="49"/>
      <c r="K201" s="126"/>
    </row>
    <row r="202" spans="1:11" s="24" customFormat="1" x14ac:dyDescent="0.25">
      <c r="A202" s="247"/>
      <c r="B202" s="81" t="str">
        <f>CCU!B1509</f>
        <v>2.4.7.1</v>
      </c>
      <c r="C202" s="86" t="str">
        <f>CCU!C1509</f>
        <v>Verificação da iluminação emergência, caixas de incêndio e prazo de validade dos extintores</v>
      </c>
      <c r="D202" s="125" t="str">
        <f>CCU!G1509</f>
        <v>visita</v>
      </c>
      <c r="E202" s="126">
        <v>2</v>
      </c>
      <c r="F202" s="131">
        <f>CCU!G1514</f>
        <v>71.069999999999993</v>
      </c>
      <c r="G202" s="126"/>
      <c r="H202" s="127">
        <f t="shared" ref="H202:H208" si="30">F202+G202</f>
        <v>71.069999999999993</v>
      </c>
      <c r="I202" s="126">
        <f t="shared" ref="I202:I208" si="31">H202*E202</f>
        <v>142.13999999999999</v>
      </c>
      <c r="J202" s="49" t="str">
        <f>CCU!E1509</f>
        <v xml:space="preserve"> COMP. PRÓPRIA </v>
      </c>
      <c r="K202" s="126" t="s">
        <v>1087</v>
      </c>
    </row>
    <row r="203" spans="1:11" s="24" customFormat="1" x14ac:dyDescent="0.25">
      <c r="A203" s="247"/>
      <c r="B203" s="81" t="str">
        <f>CCU!B1517</f>
        <v>2.4.7.2</v>
      </c>
      <c r="C203" s="86" t="str">
        <f>CCU!C1517</f>
        <v>Teste no sistema de alarme</v>
      </c>
      <c r="D203" s="125" t="str">
        <f>CCU!G1517</f>
        <v>visita</v>
      </c>
      <c r="E203" s="126">
        <v>2</v>
      </c>
      <c r="F203" s="131">
        <f>CCU!G1522</f>
        <v>107.5</v>
      </c>
      <c r="G203" s="126"/>
      <c r="H203" s="127">
        <f t="shared" si="30"/>
        <v>107.5</v>
      </c>
      <c r="I203" s="126">
        <f t="shared" si="31"/>
        <v>215</v>
      </c>
      <c r="J203" s="49" t="str">
        <f>CCU!E1517</f>
        <v xml:space="preserve"> COMP. PRÓPRIA </v>
      </c>
      <c r="K203" s="126" t="s">
        <v>1087</v>
      </c>
    </row>
    <row r="204" spans="1:11" s="24" customFormat="1" x14ac:dyDescent="0.25">
      <c r="A204" s="247"/>
      <c r="B204" s="8" t="str">
        <f>CCU!B1525</f>
        <v>2.4.8</v>
      </c>
      <c r="C204" s="96" t="str">
        <f>CCU!C1525</f>
        <v>Instalações Eletricas/Telefone/SPDA/Rede Estruturada</v>
      </c>
      <c r="D204" s="128"/>
      <c r="E204" s="131"/>
      <c r="F204" s="131"/>
      <c r="G204" s="131"/>
      <c r="H204" s="127"/>
      <c r="I204" s="126"/>
      <c r="J204" s="49"/>
      <c r="K204" s="126"/>
    </row>
    <row r="205" spans="1:11" s="24" customFormat="1" x14ac:dyDescent="0.25">
      <c r="A205" s="247"/>
      <c r="B205" s="81" t="str">
        <f>CCU!B1526</f>
        <v>2.4.8.1</v>
      </c>
      <c r="C205" s="86" t="str">
        <f>CCU!C1526</f>
        <v>Revisão geral dos quadros elétricos  (reaperto, aterramento, temperatura, limpeza, etc)</v>
      </c>
      <c r="D205" s="125" t="str">
        <f>CCU!G1526</f>
        <v>visita</v>
      </c>
      <c r="E205" s="131">
        <v>2</v>
      </c>
      <c r="F205" s="131">
        <f>CCU!G1531</f>
        <v>258</v>
      </c>
      <c r="G205" s="131"/>
      <c r="H205" s="127">
        <f t="shared" si="30"/>
        <v>258</v>
      </c>
      <c r="I205" s="126">
        <f t="shared" si="31"/>
        <v>516</v>
      </c>
      <c r="J205" s="49" t="str">
        <f>CCU!E1526</f>
        <v xml:space="preserve"> COMP. PRÓPRIA </v>
      </c>
      <c r="K205" s="126" t="s">
        <v>1087</v>
      </c>
    </row>
    <row r="206" spans="1:11" s="24" customFormat="1" ht="30" x14ac:dyDescent="0.25">
      <c r="A206" s="247"/>
      <c r="B206" s="81" t="str">
        <f>CCU!B1534</f>
        <v>2.4.8.3</v>
      </c>
      <c r="C206" s="86" t="str">
        <f>CCU!C1534</f>
        <v>Inspeção visual do SPDA e verificação de acordo com NBR-5419 - captores, descidas, conexões</v>
      </c>
      <c r="D206" s="125" t="str">
        <f>CCU!G1534</f>
        <v>visita</v>
      </c>
      <c r="E206" s="131">
        <v>2</v>
      </c>
      <c r="F206" s="131">
        <f>CCU!G1539</f>
        <v>64.5</v>
      </c>
      <c r="G206" s="131"/>
      <c r="H206" s="127">
        <f t="shared" si="30"/>
        <v>64.5</v>
      </c>
      <c r="I206" s="126">
        <f t="shared" si="31"/>
        <v>129</v>
      </c>
      <c r="J206" s="49" t="str">
        <f>CCU!E1534</f>
        <v xml:space="preserve"> COMP. PRÓPRIA </v>
      </c>
      <c r="K206" s="126" t="s">
        <v>1087</v>
      </c>
    </row>
    <row r="207" spans="1:11" s="24" customFormat="1" x14ac:dyDescent="0.25">
      <c r="A207" s="247"/>
      <c r="B207" s="8" t="s">
        <v>116</v>
      </c>
      <c r="C207" s="96" t="s">
        <v>29</v>
      </c>
      <c r="D207" s="128"/>
      <c r="E207" s="131"/>
      <c r="F207" s="131"/>
      <c r="G207" s="131"/>
      <c r="H207" s="127"/>
      <c r="I207" s="126"/>
      <c r="J207" s="49"/>
      <c r="K207" s="126"/>
    </row>
    <row r="208" spans="1:11" s="24" customFormat="1" x14ac:dyDescent="0.25">
      <c r="A208" s="247"/>
      <c r="B208" s="49" t="s">
        <v>656</v>
      </c>
      <c r="C208" s="86" t="s">
        <v>371</v>
      </c>
      <c r="D208" s="129" t="s">
        <v>370</v>
      </c>
      <c r="E208" s="131">
        <v>2</v>
      </c>
      <c r="F208" s="131">
        <f>'Ar Cond-SC'!U22</f>
        <v>183.36349999999999</v>
      </c>
      <c r="G208" s="131">
        <f>0.1*F208</f>
        <v>18.336349999999999</v>
      </c>
      <c r="H208" s="127">
        <f t="shared" si="30"/>
        <v>201.69985</v>
      </c>
      <c r="I208" s="126">
        <f t="shared" si="31"/>
        <v>403.3997</v>
      </c>
      <c r="J208" s="81" t="s">
        <v>193</v>
      </c>
      <c r="K208" s="126" t="s">
        <v>1087</v>
      </c>
    </row>
    <row r="209" spans="1:11" s="24" customFormat="1" x14ac:dyDescent="0.25">
      <c r="A209" s="247"/>
      <c r="B209" s="8" t="str">
        <f>CCU!B1542</f>
        <v>2.4.10</v>
      </c>
      <c r="C209" s="96" t="str">
        <f>CCU!C1542</f>
        <v>Central Telefônica</v>
      </c>
      <c r="D209" s="129"/>
      <c r="E209" s="126"/>
      <c r="F209" s="126"/>
      <c r="G209" s="126"/>
      <c r="H209" s="127"/>
      <c r="I209" s="126"/>
      <c r="J209" s="81"/>
      <c r="K209" s="131"/>
    </row>
    <row r="210" spans="1:11" s="24" customFormat="1" x14ac:dyDescent="0.25">
      <c r="A210" s="247"/>
      <c r="B210" s="81" t="str">
        <f>CCU!B1543</f>
        <v>2.4.10.1</v>
      </c>
      <c r="C210" s="86" t="str">
        <f>CCU!C1543</f>
        <v>Serviços de manutenção semestrais - Central Telefonica</v>
      </c>
      <c r="D210" s="125" t="str">
        <f>CCU!G1543</f>
        <v>visita</v>
      </c>
      <c r="E210" s="126">
        <v>2</v>
      </c>
      <c r="F210" s="126">
        <f>CCU!G1547</f>
        <v>410</v>
      </c>
      <c r="G210" s="126">
        <f>CCU!G1550</f>
        <v>41</v>
      </c>
      <c r="H210" s="127">
        <f t="shared" ref="H210" si="32">F210+G210</f>
        <v>451</v>
      </c>
      <c r="I210" s="126">
        <f t="shared" ref="I210" si="33">H210*E210</f>
        <v>902</v>
      </c>
      <c r="J210" s="81" t="s">
        <v>193</v>
      </c>
      <c r="K210" s="126" t="s">
        <v>1087</v>
      </c>
    </row>
    <row r="211" spans="1:11" s="87" customFormat="1" x14ac:dyDescent="0.25">
      <c r="A211" s="247"/>
      <c r="B211" s="5" t="str">
        <f>CCU!B1553</f>
        <v>2.5</v>
      </c>
      <c r="C211" s="94" t="str">
        <f>CCU!C1553</f>
        <v>ANUAL</v>
      </c>
      <c r="D211" s="132"/>
      <c r="E211" s="133"/>
      <c r="F211" s="133"/>
      <c r="G211" s="133"/>
      <c r="H211" s="133"/>
      <c r="I211" s="12"/>
      <c r="J211" s="132"/>
      <c r="K211" s="133"/>
    </row>
    <row r="212" spans="1:11" s="24" customFormat="1" x14ac:dyDescent="0.25">
      <c r="A212" s="247"/>
      <c r="B212" s="8" t="str">
        <f>CCU!B1554</f>
        <v>2.5.2</v>
      </c>
      <c r="C212" s="96" t="str">
        <f>CCU!C1554</f>
        <v>Impermeabilização</v>
      </c>
      <c r="D212" s="128"/>
      <c r="E212" s="131"/>
      <c r="F212" s="131"/>
      <c r="G212" s="131"/>
      <c r="H212" s="127"/>
      <c r="I212" s="126"/>
      <c r="J212" s="49"/>
      <c r="K212" s="126"/>
    </row>
    <row r="213" spans="1:11" s="24" customFormat="1" x14ac:dyDescent="0.25">
      <c r="A213" s="247"/>
      <c r="B213" s="49" t="str">
        <f>CCU!B1555</f>
        <v>2.5.2.1</v>
      </c>
      <c r="C213" s="86" t="str">
        <f>CCU!C1555</f>
        <v>Inspeção no sistema de impermeabilização</v>
      </c>
      <c r="D213" s="209" t="str">
        <f>CCU!G1555</f>
        <v>visita</v>
      </c>
      <c r="E213" s="136">
        <v>1</v>
      </c>
      <c r="F213" s="136">
        <f>CCU!G1559</f>
        <v>65.22</v>
      </c>
      <c r="G213" s="136"/>
      <c r="H213" s="127">
        <f t="shared" ref="H213" si="34">F213+G213</f>
        <v>65.22</v>
      </c>
      <c r="I213" s="126">
        <f t="shared" ref="I213" si="35">H213*E213</f>
        <v>65.22</v>
      </c>
      <c r="J213" s="49" t="str">
        <f>CCU!E1555</f>
        <v xml:space="preserve"> COMP. PRÓPRIA </v>
      </c>
      <c r="K213" s="126" t="s">
        <v>1087</v>
      </c>
    </row>
    <row r="214" spans="1:11" s="24" customFormat="1" x14ac:dyDescent="0.25">
      <c r="A214" s="247"/>
      <c r="B214" s="8" t="str">
        <f>CCU!B1562</f>
        <v>2.5.3</v>
      </c>
      <c r="C214" s="96" t="str">
        <f>CCU!C1562</f>
        <v>Pintura</v>
      </c>
      <c r="D214" s="128"/>
      <c r="E214" s="131"/>
      <c r="F214" s="131"/>
      <c r="G214" s="131"/>
      <c r="H214" s="127"/>
      <c r="I214" s="126"/>
      <c r="J214" s="49"/>
      <c r="K214" s="126"/>
    </row>
    <row r="215" spans="1:11" s="24" customFormat="1" x14ac:dyDescent="0.25">
      <c r="A215" s="247"/>
      <c r="B215" s="49" t="str">
        <f>CCU!B1563</f>
        <v>2.5.3.1</v>
      </c>
      <c r="C215" s="86" t="str">
        <f>CCU!C1563</f>
        <v>Inspeção visual de elementos metálicos (estrutura, tubulações, etc) - prevenção de corrosão</v>
      </c>
      <c r="D215" s="209" t="str">
        <f>CCU!G1563</f>
        <v>visita</v>
      </c>
      <c r="E215" s="136">
        <v>1</v>
      </c>
      <c r="F215" s="136">
        <f>CCU!G1567</f>
        <v>108.10000000000001</v>
      </c>
      <c r="G215" s="136"/>
      <c r="H215" s="127">
        <f t="shared" ref="H215:H223" si="36">F215+G215</f>
        <v>108.10000000000001</v>
      </c>
      <c r="I215" s="126">
        <f t="shared" ref="I215:I223" si="37">H215*E215</f>
        <v>108.10000000000001</v>
      </c>
      <c r="J215" s="49" t="str">
        <f>CCU!E1563</f>
        <v xml:space="preserve"> COMP. PRÓPRIA </v>
      </c>
      <c r="K215" s="126" t="s">
        <v>1087</v>
      </c>
    </row>
    <row r="216" spans="1:11" s="24" customFormat="1" x14ac:dyDescent="0.25">
      <c r="A216" s="247"/>
      <c r="B216" s="8" t="str">
        <f>CCU!B1570</f>
        <v>2.5.6</v>
      </c>
      <c r="C216" s="96" t="str">
        <f>CCU!C1570</f>
        <v>Instalações Hidrossanitárias e de GLP</v>
      </c>
      <c r="D216" s="128"/>
      <c r="E216" s="131"/>
      <c r="F216" s="131"/>
      <c r="G216" s="131"/>
      <c r="H216" s="127"/>
      <c r="I216" s="126"/>
      <c r="J216" s="49"/>
      <c r="K216" s="126"/>
    </row>
    <row r="217" spans="1:11" s="24" customFormat="1" x14ac:dyDescent="0.25">
      <c r="A217" s="247"/>
      <c r="B217" s="49" t="str">
        <f>CCU!B1571</f>
        <v>2.5.6.1</v>
      </c>
      <c r="C217" s="86" t="str">
        <f>CCU!C1571</f>
        <v>Limpeza e desinfecção de reservatório de água potável, conforme normas da ANVISA</v>
      </c>
      <c r="D217" s="130" t="str">
        <f>CCU!G1571</f>
        <v>visita</v>
      </c>
      <c r="E217" s="131">
        <v>1</v>
      </c>
      <c r="F217" s="131">
        <f>CCU!G1576</f>
        <v>455.4</v>
      </c>
      <c r="G217" s="131">
        <f>CCU!G1579</f>
        <v>113.85</v>
      </c>
      <c r="H217" s="127">
        <f>F217+G217</f>
        <v>569.25</v>
      </c>
      <c r="I217" s="126">
        <f>H217*E217</f>
        <v>569.25</v>
      </c>
      <c r="J217" s="65" t="str">
        <f>CCU!E1571</f>
        <v xml:space="preserve"> COMP. PRÓPRIA </v>
      </c>
      <c r="K217" s="126" t="s">
        <v>1087</v>
      </c>
    </row>
    <row r="218" spans="1:11" s="24" customFormat="1" x14ac:dyDescent="0.25">
      <c r="A218" s="247"/>
      <c r="B218" s="49" t="str">
        <f>CCU!B1582</f>
        <v>2.5.6.2</v>
      </c>
      <c r="C218" s="86" t="str">
        <f>CCU!C1582</f>
        <v>Limpeza de caixas de passagem, de inspeção e de gordura</v>
      </c>
      <c r="D218" s="130" t="str">
        <f>CCU!G1582</f>
        <v>unid.</v>
      </c>
      <c r="E218" s="131">
        <v>6</v>
      </c>
      <c r="F218" s="131">
        <f>CCU!G1589</f>
        <v>56.924999999999997</v>
      </c>
      <c r="G218" s="131"/>
      <c r="H218" s="127">
        <f t="shared" si="36"/>
        <v>56.924999999999997</v>
      </c>
      <c r="I218" s="126">
        <f t="shared" si="37"/>
        <v>341.54999999999995</v>
      </c>
      <c r="J218" s="65" t="str">
        <f>CCU!E1582</f>
        <v xml:space="preserve"> COMP. PRÓPRIA </v>
      </c>
      <c r="K218" s="126" t="s">
        <v>1087</v>
      </c>
    </row>
    <row r="219" spans="1:11" s="24" customFormat="1" ht="30" x14ac:dyDescent="0.25">
      <c r="A219" s="247"/>
      <c r="B219" s="49" t="str">
        <f>CCU!B1590</f>
        <v>2.5.6.3</v>
      </c>
      <c r="C219" s="86" t="str">
        <f>CCU!C1590</f>
        <v>Verificação de vazamento da chave boia do reservatório de água, de redes enterradas e de pontos de consumo</v>
      </c>
      <c r="D219" s="125" t="str">
        <f>CCU!G1590</f>
        <v>visita</v>
      </c>
      <c r="E219" s="126">
        <v>1</v>
      </c>
      <c r="F219" s="131">
        <f>CCU!G1594</f>
        <v>65.010000000000005</v>
      </c>
      <c r="G219" s="131"/>
      <c r="H219" s="127">
        <f t="shared" si="36"/>
        <v>65.010000000000005</v>
      </c>
      <c r="I219" s="126">
        <f>H219*E219</f>
        <v>65.010000000000005</v>
      </c>
      <c r="J219" s="49" t="str">
        <f>CCU!E1590</f>
        <v xml:space="preserve"> COMP. PRÓPRIA </v>
      </c>
      <c r="K219" s="126" t="s">
        <v>1087</v>
      </c>
    </row>
    <row r="220" spans="1:11" s="24" customFormat="1" x14ac:dyDescent="0.25">
      <c r="A220" s="247"/>
      <c r="B220" s="8" t="str">
        <f>CCU!B1597</f>
        <v>2.5.7</v>
      </c>
      <c r="C220" s="96" t="str">
        <f>CCU!C1597</f>
        <v>Instalações de prevenção e combate a incêndio</v>
      </c>
      <c r="D220" s="129"/>
      <c r="E220" s="131"/>
      <c r="F220" s="131"/>
      <c r="G220" s="131"/>
      <c r="H220" s="127"/>
      <c r="I220" s="126"/>
      <c r="J220" s="128"/>
      <c r="K220" s="126"/>
    </row>
    <row r="221" spans="1:11" s="24" customFormat="1" x14ac:dyDescent="0.25">
      <c r="A221" s="247"/>
      <c r="B221" s="49" t="str">
        <f>CCU!B1598</f>
        <v>2.5.7.1</v>
      </c>
      <c r="C221" s="86" t="str">
        <f>CCU!C1598</f>
        <v>Teste do sistema de incêndio</v>
      </c>
      <c r="D221" s="125" t="str">
        <f>CCU!G1598</f>
        <v>visita</v>
      </c>
      <c r="E221" s="131">
        <v>1</v>
      </c>
      <c r="F221" s="131">
        <f>CCU!G1603</f>
        <v>155.84</v>
      </c>
      <c r="G221" s="131"/>
      <c r="H221" s="127">
        <f t="shared" si="36"/>
        <v>155.84</v>
      </c>
      <c r="I221" s="126">
        <f t="shared" si="37"/>
        <v>155.84</v>
      </c>
      <c r="J221" s="49" t="str">
        <f>CCU!E1598</f>
        <v xml:space="preserve"> COMP. PRÓPRIA </v>
      </c>
      <c r="K221" s="126" t="s">
        <v>1087</v>
      </c>
    </row>
    <row r="222" spans="1:11" s="24" customFormat="1" x14ac:dyDescent="0.25">
      <c r="A222" s="247"/>
      <c r="B222" s="49" t="str">
        <f>CCU!B1606</f>
        <v>2.5.7.2</v>
      </c>
      <c r="C222" s="89" t="str">
        <f>CCU!C1606</f>
        <v>Recarga de extintores água pressurizada 10l</v>
      </c>
      <c r="D222" s="130" t="str">
        <f>CCU!G1606</f>
        <v>unid.</v>
      </c>
      <c r="E222" s="131">
        <v>1</v>
      </c>
      <c r="F222" s="131"/>
      <c r="G222" s="131">
        <f>CCU!G1610</f>
        <v>45</v>
      </c>
      <c r="H222" s="127">
        <f t="shared" si="36"/>
        <v>45</v>
      </c>
      <c r="I222" s="126">
        <f t="shared" si="37"/>
        <v>45</v>
      </c>
      <c r="J222" s="49" t="str">
        <f>CCU!E1606</f>
        <v xml:space="preserve"> COMP. PRÓPRIA </v>
      </c>
      <c r="K222" s="126" t="s">
        <v>1087</v>
      </c>
    </row>
    <row r="223" spans="1:11" s="24" customFormat="1" x14ac:dyDescent="0.25">
      <c r="A223" s="247"/>
      <c r="B223" s="49" t="str">
        <f>CCU!B1613</f>
        <v>2.5.7.3</v>
      </c>
      <c r="C223" s="89" t="str">
        <f>CCU!C1613</f>
        <v>Recarga de extintores CO2 ou PQS</v>
      </c>
      <c r="D223" s="130" t="str">
        <f>CCU!G1613</f>
        <v>unid.</v>
      </c>
      <c r="E223" s="131">
        <f>10+3+2</f>
        <v>15</v>
      </c>
      <c r="F223" s="131"/>
      <c r="G223" s="131">
        <f>CCU!G1617</f>
        <v>57.115384615384613</v>
      </c>
      <c r="H223" s="127">
        <f t="shared" si="36"/>
        <v>57.115384615384613</v>
      </c>
      <c r="I223" s="126">
        <f t="shared" si="37"/>
        <v>856.73076923076917</v>
      </c>
      <c r="J223" s="49" t="str">
        <f>CCU!E1613</f>
        <v xml:space="preserve"> COMP. PRÓPRIA </v>
      </c>
      <c r="K223" s="126" t="s">
        <v>1087</v>
      </c>
    </row>
    <row r="224" spans="1:11" s="24" customFormat="1" x14ac:dyDescent="0.25">
      <c r="A224" s="247"/>
      <c r="B224" s="8" t="str">
        <f>CCU!B1620</f>
        <v>2.5.8</v>
      </c>
      <c r="C224" s="96" t="str">
        <f>CCU!C1620</f>
        <v>Instalações Eletricas/Telefone/SPDA/Rede Estruturada</v>
      </c>
      <c r="D224" s="128"/>
      <c r="E224" s="131"/>
      <c r="F224" s="131"/>
      <c r="G224" s="131"/>
      <c r="H224" s="127"/>
      <c r="I224" s="126"/>
      <c r="J224" s="128"/>
      <c r="K224" s="126"/>
    </row>
    <row r="225" spans="1:13" s="24" customFormat="1" x14ac:dyDescent="0.25">
      <c r="A225" s="247"/>
      <c r="B225" s="49" t="str">
        <f>CCU!B1621</f>
        <v>2.5.8.1</v>
      </c>
      <c r="C225" s="86" t="str">
        <f>CCU!C1621</f>
        <v>Inspeção 'no-breaks' de acordo com manuais dos fabricantes</v>
      </c>
      <c r="D225" s="125" t="str">
        <f>CCU!G1621</f>
        <v>visita</v>
      </c>
      <c r="E225" s="131">
        <v>1</v>
      </c>
      <c r="F225" s="131">
        <f>CCU!G1626</f>
        <v>386.47</v>
      </c>
      <c r="G225" s="131"/>
      <c r="H225" s="127">
        <f t="shared" ref="H225" si="38">F225+G225</f>
        <v>386.47</v>
      </c>
      <c r="I225" s="126">
        <f t="shared" ref="I225" si="39">H225*E225</f>
        <v>386.47</v>
      </c>
      <c r="J225" s="128" t="str">
        <f>CCU!E1621</f>
        <v xml:space="preserve"> COMP. PRÓPRIA </v>
      </c>
      <c r="K225" s="126" t="s">
        <v>1087</v>
      </c>
    </row>
    <row r="226" spans="1:13" s="24" customFormat="1" x14ac:dyDescent="0.25">
      <c r="A226" s="247"/>
      <c r="B226" s="8" t="s">
        <v>1171</v>
      </c>
      <c r="C226" s="96" t="s">
        <v>29</v>
      </c>
      <c r="D226" s="128"/>
      <c r="E226" s="131"/>
      <c r="F226" s="131"/>
      <c r="G226" s="131"/>
      <c r="H226" s="127"/>
      <c r="I226" s="126"/>
      <c r="J226" s="49"/>
      <c r="K226" s="126"/>
    </row>
    <row r="227" spans="1:13" s="24" customFormat="1" x14ac:dyDescent="0.25">
      <c r="A227" s="247"/>
      <c r="B227" s="49" t="s">
        <v>1172</v>
      </c>
      <c r="C227" s="86" t="s">
        <v>1173</v>
      </c>
      <c r="D227" s="129" t="s">
        <v>370</v>
      </c>
      <c r="E227" s="131">
        <v>1</v>
      </c>
      <c r="F227" s="131">
        <f>'Ar Cond-SC'!U28</f>
        <v>3206.0129999999999</v>
      </c>
      <c r="G227" s="131">
        <f>0.1*F227</f>
        <v>320.60130000000004</v>
      </c>
      <c r="H227" s="127">
        <f t="shared" ref="H227" si="40">F227+G227</f>
        <v>3526.6143000000002</v>
      </c>
      <c r="I227" s="126">
        <f t="shared" ref="I227" si="41">H227*E227</f>
        <v>3526.6143000000002</v>
      </c>
      <c r="J227" s="81" t="s">
        <v>193</v>
      </c>
      <c r="K227" s="126" t="s">
        <v>1087</v>
      </c>
    </row>
    <row r="228" spans="1:13" s="24" customFormat="1" x14ac:dyDescent="0.25">
      <c r="A228" s="247"/>
      <c r="B228" s="8"/>
      <c r="C228" s="96"/>
      <c r="D228" s="129"/>
      <c r="E228" s="131"/>
      <c r="F228" s="131"/>
      <c r="G228" s="131"/>
      <c r="H228" s="127"/>
      <c r="I228" s="126"/>
      <c r="J228" s="128"/>
      <c r="K228" s="126"/>
    </row>
    <row r="229" spans="1:13" s="24" customFormat="1" x14ac:dyDescent="0.25">
      <c r="A229" s="247"/>
      <c r="B229" s="4"/>
      <c r="C229" s="98"/>
      <c r="D229" s="4"/>
      <c r="E229" s="11"/>
      <c r="F229" s="11"/>
      <c r="G229" s="11"/>
      <c r="H229" s="11"/>
      <c r="I229" s="11"/>
      <c r="J229" s="4"/>
      <c r="K229" s="15"/>
      <c r="L229" s="10"/>
      <c r="M229" s="10"/>
    </row>
    <row r="230" spans="1:13" s="24" customFormat="1" ht="18.75" x14ac:dyDescent="0.25">
      <c r="A230" s="247"/>
      <c r="B230" s="348" t="s">
        <v>1080</v>
      </c>
      <c r="C230" s="348"/>
      <c r="D230" s="348"/>
      <c r="E230" s="348"/>
      <c r="F230" s="222">
        <f>SUMPRODUCT(E188:E229,F188:F229)</f>
        <v>23325.527999999998</v>
      </c>
      <c r="G230" s="222">
        <f>SUMPRODUCT(E188:E229,G188:G229)</f>
        <v>2897.4535692307691</v>
      </c>
      <c r="H230" s="223"/>
      <c r="I230" s="224">
        <f>SUM(I187:I229)</f>
        <v>26222.981569230771</v>
      </c>
      <c r="J230" s="225"/>
      <c r="K230" s="225"/>
      <c r="L230" s="120"/>
      <c r="M230" s="120"/>
    </row>
    <row r="231" spans="1:13" s="104" customFormat="1" ht="12" customHeight="1" x14ac:dyDescent="0.25">
      <c r="A231" s="250"/>
      <c r="B231" s="226"/>
      <c r="C231" s="226"/>
      <c r="D231" s="226"/>
      <c r="E231" s="226"/>
      <c r="F231" s="227"/>
      <c r="G231" s="227"/>
      <c r="H231" s="226"/>
      <c r="I231" s="228"/>
      <c r="J231" s="53"/>
      <c r="K231" s="53"/>
      <c r="L231" s="229"/>
      <c r="M231" s="229"/>
    </row>
    <row r="232" spans="1:13" s="24" customFormat="1" ht="18.75" x14ac:dyDescent="0.25">
      <c r="A232" s="247"/>
      <c r="B232" s="349" t="s">
        <v>1081</v>
      </c>
      <c r="C232" s="349"/>
      <c r="D232" s="349"/>
      <c r="E232" s="349"/>
      <c r="F232" s="224">
        <f>F186+F230</f>
        <v>30942.52173722806</v>
      </c>
      <c r="G232" s="224">
        <f>G186+G230</f>
        <v>17382.721722255577</v>
      </c>
      <c r="H232" s="223"/>
      <c r="I232" s="224">
        <f>I186+I230</f>
        <v>48325.243459483638</v>
      </c>
      <c r="J232" s="223"/>
      <c r="K232" s="223"/>
    </row>
    <row r="233" spans="1:13" s="24" customFormat="1" ht="18.75" x14ac:dyDescent="0.25">
      <c r="A233" s="247"/>
      <c r="B233" s="354" t="s">
        <v>1083</v>
      </c>
      <c r="C233" s="355"/>
      <c r="D233" s="355"/>
      <c r="E233" s="234">
        <f>BDI!E16</f>
        <v>0.22966016838268466</v>
      </c>
      <c r="F233" s="235">
        <f>F232*E233</f>
        <v>7106.2647523566766</v>
      </c>
      <c r="G233" s="233">
        <f>G232*E233</f>
        <v>3992.1187976825663</v>
      </c>
      <c r="H233" s="223"/>
      <c r="I233" s="233">
        <f>I232*E233</f>
        <v>11098.383550039243</v>
      </c>
      <c r="J233" s="223"/>
      <c r="K233" s="223"/>
    </row>
    <row r="234" spans="1:13" s="24" customFormat="1" ht="18.75" x14ac:dyDescent="0.25">
      <c r="A234" s="247"/>
      <c r="B234" s="350" t="s">
        <v>1082</v>
      </c>
      <c r="C234" s="350"/>
      <c r="D234" s="350"/>
      <c r="E234" s="350"/>
      <c r="F234" s="224">
        <f>F232+F233</f>
        <v>38048.786489584738</v>
      </c>
      <c r="G234" s="224">
        <f>G232+G233</f>
        <v>21374.840519938145</v>
      </c>
      <c r="H234" s="223"/>
      <c r="I234" s="224">
        <f>I232+I233</f>
        <v>59423.627009522883</v>
      </c>
      <c r="J234" s="223"/>
      <c r="K234" s="223"/>
    </row>
    <row r="236" spans="1:13" x14ac:dyDescent="0.25">
      <c r="C236" s="318" t="s">
        <v>1181</v>
      </c>
      <c r="D236" s="319"/>
      <c r="E236" s="320">
        <f>F232/I232</f>
        <v>0.6402972757534181</v>
      </c>
      <c r="K236" s="315"/>
      <c r="L236" s="312"/>
    </row>
    <row r="237" spans="1:13" x14ac:dyDescent="0.25">
      <c r="C237" s="318" t="s">
        <v>1182</v>
      </c>
      <c r="D237" s="319"/>
      <c r="E237" s="320">
        <f>G232/I232</f>
        <v>0.3597027242465819</v>
      </c>
      <c r="I237" s="92"/>
      <c r="K237" s="315"/>
      <c r="L237" s="312"/>
    </row>
    <row r="238" spans="1:13" s="179" customFormat="1" x14ac:dyDescent="0.25">
      <c r="A238" s="161"/>
      <c r="B238" s="10"/>
      <c r="C238" s="48"/>
      <c r="D238" s="10"/>
      <c r="E238" s="10"/>
      <c r="F238" s="10"/>
      <c r="G238" s="10"/>
      <c r="H238" s="10"/>
      <c r="I238" s="92"/>
      <c r="J238" s="10"/>
      <c r="K238" s="10"/>
    </row>
  </sheetData>
  <mergeCells count="14">
    <mergeCell ref="B230:E230"/>
    <mergeCell ref="B232:E232"/>
    <mergeCell ref="B234:E234"/>
    <mergeCell ref="B6:K6"/>
    <mergeCell ref="B7:B8"/>
    <mergeCell ref="C7:C8"/>
    <mergeCell ref="D7:D8"/>
    <mergeCell ref="E7:E8"/>
    <mergeCell ref="B186:E186"/>
    <mergeCell ref="F7:H7"/>
    <mergeCell ref="I7:I8"/>
    <mergeCell ref="J7:J8"/>
    <mergeCell ref="K7:K8"/>
    <mergeCell ref="B233:D233"/>
  </mergeCells>
  <printOptions horizontalCentered="1"/>
  <pageMargins left="0" right="0" top="0" bottom="0" header="0" footer="0"/>
  <pageSetup paperSize="9" scale="62" fitToHeight="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28"/>
  <sheetViews>
    <sheetView zoomScaleNormal="100" workbookViewId="0"/>
  </sheetViews>
  <sheetFormatPr defaultRowHeight="15" x14ac:dyDescent="0.25"/>
  <cols>
    <col min="1" max="1" width="9.140625" style="161"/>
    <col min="2" max="2" width="10.85546875" style="1" bestFit="1" customWidth="1"/>
    <col min="3" max="3" width="57.28515625" style="1" customWidth="1"/>
    <col min="4" max="4" width="11.85546875" style="1" customWidth="1"/>
    <col min="5" max="5" width="14.85546875" style="1" customWidth="1"/>
    <col min="6" max="6" width="9.140625" style="1"/>
    <col min="7" max="7" width="10" style="1" bestFit="1" customWidth="1"/>
    <col min="8" max="8" width="28.42578125" style="180" customWidth="1"/>
    <col min="9" max="9" width="20" style="1" bestFit="1" customWidth="1"/>
    <col min="10" max="16384" width="9.140625" style="1"/>
  </cols>
  <sheetData>
    <row r="2" spans="2:8" ht="31.5" x14ac:dyDescent="0.25">
      <c r="C2" s="100" t="s">
        <v>376</v>
      </c>
    </row>
    <row r="3" spans="2:8" ht="15.75" x14ac:dyDescent="0.25">
      <c r="C3" s="100" t="s">
        <v>1101</v>
      </c>
      <c r="D3" s="84"/>
      <c r="E3" s="107"/>
    </row>
    <row r="5" spans="2:8" ht="21" x14ac:dyDescent="0.35">
      <c r="B5" s="362" t="s">
        <v>686</v>
      </c>
      <c r="C5" s="351"/>
      <c r="D5" s="351"/>
      <c r="E5" s="351"/>
      <c r="F5" s="351"/>
      <c r="G5" s="351"/>
      <c r="H5" s="187" t="s">
        <v>393</v>
      </c>
    </row>
    <row r="6" spans="2:8" ht="23.25" customHeight="1" x14ac:dyDescent="0.25">
      <c r="B6" s="60">
        <v>1</v>
      </c>
      <c r="C6" s="61" t="s">
        <v>14</v>
      </c>
      <c r="D6" s="62"/>
      <c r="E6" s="62"/>
      <c r="F6" s="62"/>
      <c r="G6" s="62"/>
      <c r="H6" s="244" t="s">
        <v>977</v>
      </c>
    </row>
    <row r="7" spans="2:8" x14ac:dyDescent="0.25">
      <c r="B7" s="23" t="s">
        <v>3</v>
      </c>
      <c r="C7" s="22" t="s">
        <v>107</v>
      </c>
      <c r="D7" s="21"/>
      <c r="E7" s="21"/>
      <c r="F7" s="21"/>
      <c r="G7" s="21"/>
      <c r="H7" s="112"/>
    </row>
    <row r="8" spans="2:8" ht="15.75" thickBot="1" x14ac:dyDescent="0.3">
      <c r="B8" s="23" t="s">
        <v>46</v>
      </c>
      <c r="C8" s="22" t="s">
        <v>867</v>
      </c>
      <c r="D8" s="21"/>
      <c r="E8" s="21"/>
      <c r="F8" s="21"/>
      <c r="G8" s="21"/>
      <c r="H8" s="112"/>
    </row>
    <row r="9" spans="2:8" ht="22.5" x14ac:dyDescent="0.25">
      <c r="B9" s="30" t="s">
        <v>118</v>
      </c>
      <c r="C9" s="31" t="s">
        <v>926</v>
      </c>
      <c r="D9" s="32"/>
      <c r="E9" s="106" t="s">
        <v>392</v>
      </c>
      <c r="F9" s="33" t="s">
        <v>192</v>
      </c>
      <c r="G9" s="34" t="s">
        <v>232</v>
      </c>
    </row>
    <row r="10" spans="2:8" x14ac:dyDescent="0.25">
      <c r="B10" s="35" t="s">
        <v>0</v>
      </c>
      <c r="C10" s="20" t="s">
        <v>1</v>
      </c>
      <c r="D10" s="20" t="s">
        <v>190</v>
      </c>
      <c r="E10" s="59" t="s">
        <v>189</v>
      </c>
      <c r="F10" s="18" t="s">
        <v>188</v>
      </c>
      <c r="G10" s="64" t="s">
        <v>187</v>
      </c>
    </row>
    <row r="11" spans="2:8" ht="15" customHeight="1" x14ac:dyDescent="0.25">
      <c r="B11" s="358" t="s">
        <v>186</v>
      </c>
      <c r="C11" s="359"/>
      <c r="D11" s="216"/>
      <c r="E11" s="26"/>
      <c r="F11" s="36"/>
      <c r="G11" s="37"/>
    </row>
    <row r="12" spans="2:8" x14ac:dyDescent="0.25">
      <c r="B12" s="215">
        <v>88309</v>
      </c>
      <c r="C12" s="17" t="s">
        <v>215</v>
      </c>
      <c r="D12" s="216" t="s">
        <v>200</v>
      </c>
      <c r="E12" s="26">
        <v>5</v>
      </c>
      <c r="F12" s="27">
        <v>21.74</v>
      </c>
      <c r="G12" s="37">
        <f>E12*F12</f>
        <v>108.69999999999999</v>
      </c>
    </row>
    <row r="13" spans="2:8" x14ac:dyDescent="0.25">
      <c r="B13" s="215">
        <v>88316</v>
      </c>
      <c r="C13" s="17" t="s">
        <v>201</v>
      </c>
      <c r="D13" s="216" t="s">
        <v>200</v>
      </c>
      <c r="E13" s="26">
        <v>10</v>
      </c>
      <c r="F13" s="27">
        <v>16.21</v>
      </c>
      <c r="G13" s="37">
        <f>E13*F13</f>
        <v>162.10000000000002</v>
      </c>
    </row>
    <row r="14" spans="2:8" x14ac:dyDescent="0.25">
      <c r="B14" s="215"/>
      <c r="C14" s="25"/>
      <c r="D14" s="25"/>
      <c r="E14" s="38"/>
      <c r="F14" s="39" t="s">
        <v>183</v>
      </c>
      <c r="G14" s="40">
        <f>SUM(G12:G13)</f>
        <v>270.8</v>
      </c>
    </row>
    <row r="15" spans="2:8" x14ac:dyDescent="0.25">
      <c r="B15" s="358" t="s">
        <v>182</v>
      </c>
      <c r="C15" s="359"/>
      <c r="D15" s="216"/>
      <c r="E15" s="26"/>
      <c r="F15" s="36"/>
      <c r="G15" s="37"/>
    </row>
    <row r="16" spans="2:8" x14ac:dyDescent="0.25">
      <c r="B16" s="215">
        <v>134</v>
      </c>
      <c r="C16" s="17" t="s">
        <v>233</v>
      </c>
      <c r="D16" s="216" t="s">
        <v>2</v>
      </c>
      <c r="E16" s="41">
        <v>1900</v>
      </c>
      <c r="F16" s="27">
        <v>1.37</v>
      </c>
      <c r="G16" s="37">
        <f>E16*F16</f>
        <v>2603</v>
      </c>
    </row>
    <row r="17" spans="1:7" x14ac:dyDescent="0.25">
      <c r="B17" s="215"/>
      <c r="C17" s="25"/>
      <c r="D17" s="25"/>
      <c r="E17" s="26"/>
      <c r="F17" s="27" t="s">
        <v>179</v>
      </c>
      <c r="G17" s="40">
        <f>SUM(G16:G16)</f>
        <v>2603</v>
      </c>
    </row>
    <row r="18" spans="1:7" ht="15.75" thickBot="1" x14ac:dyDescent="0.3">
      <c r="B18" s="215"/>
      <c r="C18" s="17"/>
      <c r="D18" s="25"/>
      <c r="E18" s="26"/>
      <c r="F18" s="16"/>
      <c r="G18" s="43"/>
    </row>
    <row r="19" spans="1:7" ht="15.75" thickBot="1" x14ac:dyDescent="0.3">
      <c r="B19" s="44" t="s">
        <v>239</v>
      </c>
      <c r="C19" s="45" t="s">
        <v>727</v>
      </c>
      <c r="D19" s="46"/>
      <c r="E19" s="47"/>
      <c r="F19" s="16" t="s">
        <v>178</v>
      </c>
      <c r="G19" s="113">
        <f>G14+G17</f>
        <v>2873.8</v>
      </c>
    </row>
    <row r="20" spans="1:7" ht="15.75" thickBot="1" x14ac:dyDescent="0.3">
      <c r="B20" s="23" t="s">
        <v>47</v>
      </c>
      <c r="C20" s="22" t="s">
        <v>44</v>
      </c>
      <c r="D20" s="21"/>
      <c r="E20" s="21"/>
      <c r="F20" s="21"/>
      <c r="G20" s="21"/>
    </row>
    <row r="21" spans="1:7" x14ac:dyDescent="0.25">
      <c r="B21" s="30" t="s">
        <v>364</v>
      </c>
      <c r="C21" s="31" t="s">
        <v>687</v>
      </c>
      <c r="D21" s="32"/>
      <c r="E21" s="69" t="s">
        <v>193</v>
      </c>
      <c r="F21" s="33" t="s">
        <v>192</v>
      </c>
      <c r="G21" s="34" t="s">
        <v>319</v>
      </c>
    </row>
    <row r="22" spans="1:7" x14ac:dyDescent="0.25">
      <c r="B22" s="35" t="s">
        <v>0</v>
      </c>
      <c r="C22" s="20" t="s">
        <v>1</v>
      </c>
      <c r="D22" s="20" t="s">
        <v>190</v>
      </c>
      <c r="E22" s="59" t="s">
        <v>189</v>
      </c>
      <c r="F22" s="18" t="s">
        <v>188</v>
      </c>
      <c r="G22" s="64" t="s">
        <v>187</v>
      </c>
    </row>
    <row r="23" spans="1:7" ht="15" customHeight="1" x14ac:dyDescent="0.25">
      <c r="B23" s="358" t="s">
        <v>186</v>
      </c>
      <c r="C23" s="359"/>
      <c r="D23" s="216"/>
      <c r="E23" s="26"/>
      <c r="F23" s="36"/>
      <c r="G23" s="37"/>
    </row>
    <row r="24" spans="1:7" ht="22.5" x14ac:dyDescent="0.25">
      <c r="A24" s="240"/>
      <c r="B24" s="50" t="str">
        <f>'MAPA COTAÇÃO'!B8</f>
        <v>COT-1</v>
      </c>
      <c r="C24" s="17" t="str">
        <f>'MAPA COTAÇÃO'!B13</f>
        <v>FURO EM CONCRETO COM COROAS DIAMANTADAS, UTILIZANDO PERFURATRIZ ELÉTRICA DIAM.100MM  PROFUNDIDADE 40 CM</v>
      </c>
      <c r="D24" s="216" t="str">
        <f>'MAPA COTAÇÃO'!D13</f>
        <v>UNID</v>
      </c>
      <c r="E24" s="54">
        <v>1</v>
      </c>
      <c r="F24" s="27">
        <f>'MAPA COTAÇÃO'!J13</f>
        <v>350</v>
      </c>
      <c r="G24" s="37">
        <f>E24*F24</f>
        <v>350</v>
      </c>
    </row>
    <row r="25" spans="1:7" x14ac:dyDescent="0.25">
      <c r="B25" s="215"/>
      <c r="C25" s="25"/>
      <c r="D25" s="25"/>
      <c r="E25" s="38"/>
      <c r="F25" s="39" t="s">
        <v>183</v>
      </c>
      <c r="G25" s="40">
        <f>SUM(G24:G24)</f>
        <v>350</v>
      </c>
    </row>
    <row r="26" spans="1:7" ht="15.75" thickBot="1" x14ac:dyDescent="0.3">
      <c r="B26" s="215"/>
      <c r="C26" s="17" t="s">
        <v>682</v>
      </c>
      <c r="D26" s="25"/>
      <c r="E26" s="26"/>
      <c r="F26" s="16"/>
      <c r="G26" s="43"/>
    </row>
    <row r="27" spans="1:7" ht="15.75" thickBot="1" x14ac:dyDescent="0.3">
      <c r="B27" s="44" t="s">
        <v>239</v>
      </c>
      <c r="C27" s="45" t="s">
        <v>246</v>
      </c>
      <c r="D27" s="46"/>
      <c r="E27" s="47"/>
      <c r="F27" s="16" t="s">
        <v>178</v>
      </c>
      <c r="G27" s="113">
        <f>G25</f>
        <v>350</v>
      </c>
    </row>
    <row r="28" spans="1:7" x14ac:dyDescent="0.25">
      <c r="B28" s="23" t="s">
        <v>48</v>
      </c>
      <c r="C28" s="22" t="s">
        <v>30</v>
      </c>
      <c r="D28" s="21"/>
      <c r="E28" s="21"/>
      <c r="F28" s="21"/>
      <c r="G28" s="21"/>
    </row>
    <row r="29" spans="1:7" ht="15.75" thickBot="1" x14ac:dyDescent="0.3">
      <c r="B29" s="23" t="s">
        <v>887</v>
      </c>
      <c r="C29" s="22" t="s">
        <v>411</v>
      </c>
      <c r="D29" s="21"/>
      <c r="E29" s="21"/>
      <c r="F29" s="21"/>
      <c r="G29" s="21"/>
    </row>
    <row r="30" spans="1:7" x14ac:dyDescent="0.25">
      <c r="B30" s="30" t="s">
        <v>888</v>
      </c>
      <c r="C30" s="51" t="s">
        <v>892</v>
      </c>
      <c r="D30" s="32"/>
      <c r="E30" s="69" t="s">
        <v>298</v>
      </c>
      <c r="F30" s="33" t="s">
        <v>192</v>
      </c>
      <c r="G30" s="34" t="s">
        <v>203</v>
      </c>
    </row>
    <row r="31" spans="1:7" x14ac:dyDescent="0.25">
      <c r="B31" s="35" t="s">
        <v>0</v>
      </c>
      <c r="C31" s="20" t="s">
        <v>1</v>
      </c>
      <c r="D31" s="20" t="s">
        <v>190</v>
      </c>
      <c r="E31" s="59" t="s">
        <v>189</v>
      </c>
      <c r="F31" s="18" t="s">
        <v>188</v>
      </c>
      <c r="G31" s="64" t="s">
        <v>187</v>
      </c>
    </row>
    <row r="32" spans="1:7" x14ac:dyDescent="0.25">
      <c r="B32" s="358" t="s">
        <v>186</v>
      </c>
      <c r="C32" s="359"/>
      <c r="D32" s="216"/>
      <c r="E32" s="26"/>
      <c r="F32" s="36"/>
      <c r="G32" s="37"/>
    </row>
    <row r="33" spans="2:8" x14ac:dyDescent="0.25">
      <c r="B33" s="50">
        <v>88309</v>
      </c>
      <c r="C33" s="17" t="s">
        <v>215</v>
      </c>
      <c r="D33" s="216" t="s">
        <v>184</v>
      </c>
      <c r="E33" s="71">
        <v>1.37</v>
      </c>
      <c r="F33" s="27">
        <v>21.74</v>
      </c>
      <c r="G33" s="37">
        <f>E33*F33</f>
        <v>29.783799999999999</v>
      </c>
    </row>
    <row r="34" spans="2:8" x14ac:dyDescent="0.25">
      <c r="B34" s="50">
        <v>88316</v>
      </c>
      <c r="C34" s="17" t="s">
        <v>201</v>
      </c>
      <c r="D34" s="216" t="s">
        <v>184</v>
      </c>
      <c r="E34" s="71">
        <v>0.68500000000000005</v>
      </c>
      <c r="F34" s="27">
        <v>16.21</v>
      </c>
      <c r="G34" s="37">
        <f>E34*F34</f>
        <v>11.103850000000001</v>
      </c>
    </row>
    <row r="35" spans="2:8" x14ac:dyDescent="0.25">
      <c r="B35" s="215"/>
      <c r="C35" s="25"/>
      <c r="D35" s="25"/>
      <c r="E35" s="53"/>
      <c r="F35" s="39" t="s">
        <v>183</v>
      </c>
      <c r="G35" s="40">
        <f>SUM(G33:G34)</f>
        <v>40.887650000000001</v>
      </c>
    </row>
    <row r="36" spans="2:8" x14ac:dyDescent="0.25">
      <c r="B36" s="358" t="s">
        <v>182</v>
      </c>
      <c r="C36" s="359"/>
      <c r="D36" s="216"/>
      <c r="E36" s="26"/>
      <c r="F36" s="36"/>
      <c r="G36" s="37"/>
    </row>
    <row r="37" spans="2:8" x14ac:dyDescent="0.25">
      <c r="B37" s="50">
        <v>7266</v>
      </c>
      <c r="C37" s="17" t="s">
        <v>404</v>
      </c>
      <c r="D37" s="216" t="s">
        <v>405</v>
      </c>
      <c r="E37" s="190">
        <v>2.793E-2</v>
      </c>
      <c r="F37" s="42">
        <v>531</v>
      </c>
      <c r="G37" s="37">
        <f>E37*F37</f>
        <v>14.830830000000001</v>
      </c>
    </row>
    <row r="38" spans="2:8" ht="22.5" x14ac:dyDescent="0.25">
      <c r="B38" s="50">
        <v>34557</v>
      </c>
      <c r="C38" s="17" t="s">
        <v>406</v>
      </c>
      <c r="D38" s="216" t="s">
        <v>11</v>
      </c>
      <c r="E38" s="71">
        <v>0.42</v>
      </c>
      <c r="F38" s="42">
        <v>1.2</v>
      </c>
      <c r="G38" s="37">
        <f>E38*F38</f>
        <v>0.504</v>
      </c>
    </row>
    <row r="39" spans="2:8" x14ac:dyDescent="0.25">
      <c r="B39" s="50">
        <v>37395</v>
      </c>
      <c r="C39" s="17" t="s">
        <v>407</v>
      </c>
      <c r="D39" s="216" t="s">
        <v>216</v>
      </c>
      <c r="E39" s="71">
        <v>5.0000000000000001E-3</v>
      </c>
      <c r="F39" s="42">
        <v>43.29</v>
      </c>
      <c r="G39" s="37">
        <f>E39*F39</f>
        <v>0.21645</v>
      </c>
    </row>
    <row r="40" spans="2:8" ht="22.5" x14ac:dyDescent="0.25">
      <c r="B40" s="50">
        <v>87369</v>
      </c>
      <c r="C40" s="17" t="s">
        <v>408</v>
      </c>
      <c r="D40" s="216" t="s">
        <v>253</v>
      </c>
      <c r="E40" s="71">
        <v>9.7999999999999997E-3</v>
      </c>
      <c r="F40" s="42">
        <v>429.31</v>
      </c>
      <c r="G40" s="37">
        <f>E40*F40</f>
        <v>4.2072380000000003</v>
      </c>
    </row>
    <row r="41" spans="2:8" x14ac:dyDescent="0.25">
      <c r="B41" s="215"/>
      <c r="C41" s="25"/>
      <c r="D41" s="25"/>
      <c r="E41" s="26"/>
      <c r="F41" s="27" t="s">
        <v>179</v>
      </c>
      <c r="G41" s="40">
        <f>SUM(G37:G40)</f>
        <v>19.758518000000002</v>
      </c>
    </row>
    <row r="42" spans="2:8" ht="15.75" thickBot="1" x14ac:dyDescent="0.3">
      <c r="B42" s="215"/>
      <c r="C42" s="17"/>
      <c r="D42" s="25"/>
      <c r="E42" s="26"/>
      <c r="F42" s="16"/>
      <c r="G42" s="43"/>
    </row>
    <row r="43" spans="2:8" ht="15.75" thickBot="1" x14ac:dyDescent="0.3">
      <c r="B43" s="44" t="s">
        <v>240</v>
      </c>
      <c r="C43" s="45" t="s">
        <v>298</v>
      </c>
      <c r="D43" s="46"/>
      <c r="E43" s="47"/>
      <c r="F43" s="16" t="s">
        <v>178</v>
      </c>
      <c r="G43" s="113">
        <f>G35+G41</f>
        <v>60.646168000000003</v>
      </c>
    </row>
    <row r="44" spans="2:8" ht="15.75" thickBot="1" x14ac:dyDescent="0.3">
      <c r="B44" s="23" t="s">
        <v>58</v>
      </c>
      <c r="C44" s="22" t="s">
        <v>897</v>
      </c>
      <c r="D44" s="21"/>
      <c r="E44" s="21"/>
      <c r="F44" s="21"/>
      <c r="G44" s="21"/>
    </row>
    <row r="45" spans="2:8" ht="22.5" x14ac:dyDescent="0.25">
      <c r="B45" s="30" t="s">
        <v>119</v>
      </c>
      <c r="C45" s="146" t="s">
        <v>725</v>
      </c>
      <c r="D45" s="32"/>
      <c r="E45" s="69" t="s">
        <v>193</v>
      </c>
      <c r="F45" s="33" t="s">
        <v>192</v>
      </c>
      <c r="G45" s="34" t="s">
        <v>214</v>
      </c>
    </row>
    <row r="46" spans="2:8" x14ac:dyDescent="0.25">
      <c r="B46" s="35" t="s">
        <v>0</v>
      </c>
      <c r="C46" s="20" t="s">
        <v>1</v>
      </c>
      <c r="D46" s="20" t="s">
        <v>190</v>
      </c>
      <c r="E46" s="59" t="s">
        <v>189</v>
      </c>
      <c r="F46" s="18" t="s">
        <v>188</v>
      </c>
      <c r="G46" s="64" t="s">
        <v>187</v>
      </c>
    </row>
    <row r="47" spans="2:8" x14ac:dyDescent="0.25">
      <c r="B47" s="358" t="s">
        <v>186</v>
      </c>
      <c r="C47" s="359"/>
      <c r="D47" s="216"/>
      <c r="E47" s="26"/>
      <c r="F47" s="36"/>
      <c r="G47" s="37"/>
    </row>
    <row r="48" spans="2:8" x14ac:dyDescent="0.25">
      <c r="B48" s="50">
        <v>88278</v>
      </c>
      <c r="C48" s="17" t="s">
        <v>224</v>
      </c>
      <c r="D48" s="216" t="s">
        <v>184</v>
      </c>
      <c r="E48" s="54">
        <v>0.5</v>
      </c>
      <c r="F48" s="27">
        <v>14.07</v>
      </c>
      <c r="G48" s="37">
        <f>E48*F48</f>
        <v>7.0350000000000001</v>
      </c>
      <c r="H48" s="181"/>
    </row>
    <row r="49" spans="1:8" x14ac:dyDescent="0.25">
      <c r="B49" s="215">
        <v>88316</v>
      </c>
      <c r="C49" s="17" t="s">
        <v>201</v>
      </c>
      <c r="D49" s="216" t="s">
        <v>200</v>
      </c>
      <c r="E49" s="26">
        <v>0.1</v>
      </c>
      <c r="F49" s="27">
        <v>16.21</v>
      </c>
      <c r="G49" s="37">
        <f>E49*F49</f>
        <v>1.6210000000000002</v>
      </c>
      <c r="H49" s="181"/>
    </row>
    <row r="50" spans="1:8" ht="33.75" x14ac:dyDescent="0.25">
      <c r="B50" s="50">
        <v>91120</v>
      </c>
      <c r="C50" s="55" t="s">
        <v>290</v>
      </c>
      <c r="D50" s="216" t="s">
        <v>11</v>
      </c>
      <c r="E50" s="54">
        <v>13.4</v>
      </c>
      <c r="F50" s="27">
        <v>0.44</v>
      </c>
      <c r="G50" s="37">
        <f>E50*F50</f>
        <v>5.8959999999999999</v>
      </c>
      <c r="H50" s="181"/>
    </row>
    <row r="51" spans="1:8" x14ac:dyDescent="0.25">
      <c r="B51" s="215"/>
      <c r="C51" s="25"/>
      <c r="D51" s="25"/>
      <c r="E51" s="38"/>
      <c r="F51" s="39" t="s">
        <v>183</v>
      </c>
      <c r="G51" s="40">
        <f>SUM(G48:G50)</f>
        <v>14.552</v>
      </c>
      <c r="H51" s="181"/>
    </row>
    <row r="52" spans="1:8" x14ac:dyDescent="0.25">
      <c r="B52" s="358" t="s">
        <v>182</v>
      </c>
      <c r="C52" s="359"/>
      <c r="D52" s="216"/>
      <c r="E52" s="26"/>
      <c r="F52" s="36"/>
      <c r="G52" s="37"/>
      <c r="H52" s="181"/>
    </row>
    <row r="53" spans="1:8" ht="33.75" x14ac:dyDescent="0.25">
      <c r="A53" s="240"/>
      <c r="B53" s="215" t="str">
        <f>'MAPA COTAÇÃO'!B15</f>
        <v>COT-2</v>
      </c>
      <c r="C53" s="55" t="str">
        <f>'MAPA COTAÇÃO'!B20</f>
        <v>LOCACAO QUINZENAL DE ANDAIME METALICO TUBULAR DE ENCAIXE, TIPO DE TORRE, COM LARGURA DE 1 ATE 1,5 M E ALTURA DE 1,00 M, INCLUSO DIAGIONAIS E TRAVESSAS</v>
      </c>
      <c r="D53" s="216" t="str">
        <f>'MAPA COTAÇÃO'!D20</f>
        <v>M/QUINZENA</v>
      </c>
      <c r="E53" s="41">
        <v>1</v>
      </c>
      <c r="F53" s="42">
        <f>'MAPA COTAÇÃO'!J20</f>
        <v>33.75</v>
      </c>
      <c r="G53" s="37">
        <f>E53*F53</f>
        <v>33.75</v>
      </c>
      <c r="H53" s="181"/>
    </row>
    <row r="54" spans="1:8" s="179" customFormat="1" x14ac:dyDescent="0.25">
      <c r="A54" s="161"/>
      <c r="B54" s="215">
        <v>11977</v>
      </c>
      <c r="C54" s="55" t="s">
        <v>930</v>
      </c>
      <c r="D54" s="216" t="s">
        <v>190</v>
      </c>
      <c r="E54" s="41">
        <f>8/12</f>
        <v>0.66666666666666663</v>
      </c>
      <c r="F54" s="42">
        <v>5.79</v>
      </c>
      <c r="G54" s="37">
        <f>E54*F54</f>
        <v>3.86</v>
      </c>
      <c r="H54" s="191" t="s">
        <v>933</v>
      </c>
    </row>
    <row r="55" spans="1:8" s="179" customFormat="1" ht="22.5" x14ac:dyDescent="0.25">
      <c r="A55" s="161"/>
      <c r="B55" s="215">
        <v>42006</v>
      </c>
      <c r="C55" s="55" t="s">
        <v>931</v>
      </c>
      <c r="D55" s="216" t="s">
        <v>190</v>
      </c>
      <c r="E55" s="41">
        <f>8/12</f>
        <v>0.66666666666666663</v>
      </c>
      <c r="F55" s="42">
        <v>14.28</v>
      </c>
      <c r="G55" s="37">
        <f>E55*F55</f>
        <v>9.52</v>
      </c>
      <c r="H55" s="191" t="s">
        <v>933</v>
      </c>
    </row>
    <row r="56" spans="1:8" s="179" customFormat="1" ht="22.5" x14ac:dyDescent="0.25">
      <c r="A56" s="161"/>
      <c r="B56" s="215">
        <v>42012</v>
      </c>
      <c r="C56" s="55" t="s">
        <v>932</v>
      </c>
      <c r="D56" s="216" t="s">
        <v>2</v>
      </c>
      <c r="E56" s="41">
        <f>0.63</f>
        <v>0.63</v>
      </c>
      <c r="F56" s="42">
        <v>18.04</v>
      </c>
      <c r="G56" s="37">
        <f>E56*F56</f>
        <v>11.3652</v>
      </c>
      <c r="H56" s="191" t="s">
        <v>934</v>
      </c>
    </row>
    <row r="57" spans="1:8" x14ac:dyDescent="0.25">
      <c r="B57" s="215"/>
      <c r="C57" s="25"/>
      <c r="D57" s="25"/>
      <c r="E57" s="26"/>
      <c r="F57" s="27" t="s">
        <v>179</v>
      </c>
      <c r="G57" s="40">
        <f>SUM(G53:G56)</f>
        <v>58.495199999999997</v>
      </c>
    </row>
    <row r="58" spans="1:8" ht="15.75" thickBot="1" x14ac:dyDescent="0.3">
      <c r="B58" s="215"/>
      <c r="C58" s="17" t="s">
        <v>682</v>
      </c>
      <c r="D58" s="25"/>
      <c r="E58" s="26"/>
      <c r="F58" s="16"/>
      <c r="G58" s="43"/>
    </row>
    <row r="59" spans="1:8" ht="15.75" thickBot="1" x14ac:dyDescent="0.3">
      <c r="B59" s="44" t="s">
        <v>240</v>
      </c>
      <c r="C59" s="45" t="s">
        <v>681</v>
      </c>
      <c r="D59" s="46"/>
      <c r="E59" s="47"/>
      <c r="F59" s="16" t="s">
        <v>178</v>
      </c>
      <c r="G59" s="113">
        <f>G51+G57</f>
        <v>73.047200000000004</v>
      </c>
    </row>
    <row r="60" spans="1:8" ht="15.75" thickBot="1" x14ac:dyDescent="0.3">
      <c r="B60" s="23" t="s">
        <v>117</v>
      </c>
      <c r="C60" s="22" t="s">
        <v>293</v>
      </c>
      <c r="D60" s="21"/>
      <c r="E60" s="21"/>
      <c r="F60" s="21"/>
      <c r="G60" s="21"/>
    </row>
    <row r="61" spans="1:8" ht="22.5" x14ac:dyDescent="0.25">
      <c r="B61" s="30" t="s">
        <v>120</v>
      </c>
      <c r="C61" s="51" t="s">
        <v>925</v>
      </c>
      <c r="D61" s="32"/>
      <c r="E61" s="69" t="s">
        <v>193</v>
      </c>
      <c r="F61" s="33" t="s">
        <v>192</v>
      </c>
      <c r="G61" s="34" t="s">
        <v>232</v>
      </c>
    </row>
    <row r="62" spans="1:8" x14ac:dyDescent="0.25">
      <c r="B62" s="35" t="s">
        <v>0</v>
      </c>
      <c r="C62" s="20" t="s">
        <v>1</v>
      </c>
      <c r="D62" s="20" t="s">
        <v>190</v>
      </c>
      <c r="E62" s="59" t="s">
        <v>189</v>
      </c>
      <c r="F62" s="18" t="s">
        <v>188</v>
      </c>
      <c r="G62" s="64" t="s">
        <v>187</v>
      </c>
    </row>
    <row r="63" spans="1:8" x14ac:dyDescent="0.25">
      <c r="B63" s="358" t="s">
        <v>186</v>
      </c>
      <c r="C63" s="359"/>
      <c r="D63" s="216"/>
      <c r="E63" s="26"/>
      <c r="F63" s="36"/>
      <c r="G63" s="37"/>
    </row>
    <row r="64" spans="1:8" ht="24" x14ac:dyDescent="0.25">
      <c r="B64" s="215">
        <v>88316</v>
      </c>
      <c r="C64" s="17" t="s">
        <v>201</v>
      </c>
      <c r="D64" s="216" t="s">
        <v>200</v>
      </c>
      <c r="E64" s="41">
        <f>0.7+0.5</f>
        <v>1.2</v>
      </c>
      <c r="F64" s="27">
        <v>16.21</v>
      </c>
      <c r="G64" s="37">
        <f>E64*F64</f>
        <v>19.452000000000002</v>
      </c>
      <c r="H64" s="181" t="s">
        <v>242</v>
      </c>
    </row>
    <row r="65" spans="1:8" x14ac:dyDescent="0.25">
      <c r="B65" s="215"/>
      <c r="C65" s="25"/>
      <c r="D65" s="25"/>
      <c r="E65" s="38"/>
      <c r="F65" s="39" t="s">
        <v>183</v>
      </c>
      <c r="G65" s="40">
        <f>SUM(G64:G64)</f>
        <v>19.452000000000002</v>
      </c>
    </row>
    <row r="66" spans="1:8" x14ac:dyDescent="0.25">
      <c r="B66" s="358" t="s">
        <v>182</v>
      </c>
      <c r="C66" s="359"/>
      <c r="D66" s="216"/>
      <c r="E66" s="26"/>
      <c r="F66" s="36"/>
      <c r="G66" s="37"/>
    </row>
    <row r="67" spans="1:8" x14ac:dyDescent="0.25">
      <c r="B67" s="215">
        <v>37526</v>
      </c>
      <c r="C67" s="17" t="s">
        <v>394</v>
      </c>
      <c r="D67" s="216" t="s">
        <v>190</v>
      </c>
      <c r="E67" s="26">
        <v>20</v>
      </c>
      <c r="F67" s="42">
        <v>2.2200000000000002</v>
      </c>
      <c r="G67" s="37">
        <f>E67*F67</f>
        <v>44.400000000000006</v>
      </c>
    </row>
    <row r="68" spans="1:8" ht="33.75" x14ac:dyDescent="0.25">
      <c r="B68" s="50">
        <v>5961</v>
      </c>
      <c r="C68" s="17" t="s">
        <v>237</v>
      </c>
      <c r="D68" s="216" t="s">
        <v>204</v>
      </c>
      <c r="E68" s="41">
        <v>0.25</v>
      </c>
      <c r="F68" s="42">
        <v>33.43</v>
      </c>
      <c r="G68" s="37">
        <f>E68*F68</f>
        <v>8.3574999999999999</v>
      </c>
    </row>
    <row r="69" spans="1:8" ht="33.75" x14ac:dyDescent="0.25">
      <c r="B69" s="50">
        <v>5811</v>
      </c>
      <c r="C69" s="17" t="s">
        <v>238</v>
      </c>
      <c r="D69" s="216" t="s">
        <v>205</v>
      </c>
      <c r="E69" s="41">
        <f>0.036*30</f>
        <v>1.0799999999999998</v>
      </c>
      <c r="F69" s="42">
        <v>151.05000000000001</v>
      </c>
      <c r="G69" s="37">
        <f>E69*F69</f>
        <v>163.13399999999999</v>
      </c>
      <c r="H69" s="182" t="s">
        <v>866</v>
      </c>
    </row>
    <row r="70" spans="1:8" x14ac:dyDescent="0.25">
      <c r="B70" s="215"/>
      <c r="C70" s="25"/>
      <c r="D70" s="25"/>
      <c r="E70" s="26"/>
      <c r="F70" s="27" t="s">
        <v>179</v>
      </c>
      <c r="G70" s="40">
        <f>SUM(G67:G69)</f>
        <v>215.89150000000001</v>
      </c>
    </row>
    <row r="71" spans="1:8" ht="15.75" thickBot="1" x14ac:dyDescent="0.3">
      <c r="B71" s="215"/>
      <c r="C71" s="17"/>
      <c r="D71" s="25"/>
      <c r="E71" s="26"/>
      <c r="F71" s="16"/>
      <c r="G71" s="43"/>
    </row>
    <row r="72" spans="1:8" ht="15.75" thickBot="1" x14ac:dyDescent="0.3">
      <c r="B72" s="44" t="s">
        <v>240</v>
      </c>
      <c r="C72" s="45" t="s">
        <v>241</v>
      </c>
      <c r="D72" s="46"/>
      <c r="E72" s="47"/>
      <c r="F72" s="16" t="s">
        <v>178</v>
      </c>
      <c r="G72" s="113">
        <f>G65+G70</f>
        <v>235.34350000000001</v>
      </c>
    </row>
    <row r="73" spans="1:8" x14ac:dyDescent="0.25">
      <c r="B73" s="30" t="s">
        <v>121</v>
      </c>
      <c r="C73" s="51" t="s">
        <v>235</v>
      </c>
      <c r="D73" s="32"/>
      <c r="E73" s="69" t="s">
        <v>924</v>
      </c>
      <c r="F73" s="33" t="s">
        <v>192</v>
      </c>
      <c r="G73" s="34" t="s">
        <v>203</v>
      </c>
    </row>
    <row r="74" spans="1:8" x14ac:dyDescent="0.25">
      <c r="B74" s="35" t="s">
        <v>0</v>
      </c>
      <c r="C74" s="20" t="s">
        <v>1</v>
      </c>
      <c r="D74" s="20" t="s">
        <v>190</v>
      </c>
      <c r="E74" s="59" t="s">
        <v>189</v>
      </c>
      <c r="F74" s="18" t="s">
        <v>188</v>
      </c>
      <c r="G74" s="64" t="s">
        <v>187</v>
      </c>
    </row>
    <row r="75" spans="1:8" x14ac:dyDescent="0.25">
      <c r="B75" s="358" t="s">
        <v>186</v>
      </c>
      <c r="C75" s="359"/>
      <c r="D75" s="216"/>
      <c r="E75" s="26"/>
      <c r="F75" s="36"/>
      <c r="G75" s="37"/>
    </row>
    <row r="76" spans="1:8" s="179" customFormat="1" x14ac:dyDescent="0.25">
      <c r="A76" s="161"/>
      <c r="B76" s="215">
        <v>88309</v>
      </c>
      <c r="C76" s="17" t="s">
        <v>215</v>
      </c>
      <c r="D76" s="216" t="s">
        <v>200</v>
      </c>
      <c r="E76" s="26">
        <v>0.15</v>
      </c>
      <c r="F76" s="27">
        <v>21.74</v>
      </c>
      <c r="G76" s="37">
        <f>E76*F76</f>
        <v>3.2609999999999997</v>
      </c>
      <c r="H76" s="180"/>
    </row>
    <row r="77" spans="1:8" s="179" customFormat="1" x14ac:dyDescent="0.25">
      <c r="A77" s="161"/>
      <c r="B77" s="215">
        <v>88316</v>
      </c>
      <c r="C77" s="17" t="s">
        <v>201</v>
      </c>
      <c r="D77" s="216" t="s">
        <v>200</v>
      </c>
      <c r="E77" s="26">
        <v>0.3</v>
      </c>
      <c r="F77" s="27">
        <v>16.21</v>
      </c>
      <c r="G77" s="37">
        <f>E77*F77</f>
        <v>4.8630000000000004</v>
      </c>
      <c r="H77" s="180"/>
    </row>
    <row r="78" spans="1:8" x14ac:dyDescent="0.25">
      <c r="B78" s="215"/>
      <c r="C78" s="25"/>
      <c r="D78" s="25"/>
      <c r="E78" s="38"/>
      <c r="F78" s="39" t="s">
        <v>183</v>
      </c>
      <c r="G78" s="40">
        <f>SUM(G76:G77)</f>
        <v>8.1240000000000006</v>
      </c>
    </row>
    <row r="79" spans="1:8" x14ac:dyDescent="0.25">
      <c r="B79" s="358" t="s">
        <v>182</v>
      </c>
      <c r="C79" s="359"/>
      <c r="D79" s="216"/>
      <c r="E79" s="26"/>
      <c r="F79" s="36"/>
      <c r="G79" s="37"/>
    </row>
    <row r="80" spans="1:8" x14ac:dyDescent="0.25">
      <c r="B80" s="50">
        <v>3777</v>
      </c>
      <c r="C80" s="17" t="s">
        <v>236</v>
      </c>
      <c r="D80" s="216" t="s">
        <v>4</v>
      </c>
      <c r="E80" s="41">
        <v>1.05</v>
      </c>
      <c r="F80" s="27">
        <v>1.02</v>
      </c>
      <c r="G80" s="37">
        <f>E80*F80</f>
        <v>1.0710000000000002</v>
      </c>
    </row>
    <row r="81" spans="1:8" x14ac:dyDescent="0.25">
      <c r="B81" s="215"/>
      <c r="C81" s="25"/>
      <c r="D81" s="25"/>
      <c r="E81" s="26"/>
      <c r="F81" s="27" t="s">
        <v>179</v>
      </c>
      <c r="G81" s="40">
        <f>SUM(G80:G80)</f>
        <v>1.0710000000000002</v>
      </c>
    </row>
    <row r="82" spans="1:8" ht="15.75" thickBot="1" x14ac:dyDescent="0.3">
      <c r="B82" s="215"/>
      <c r="C82" s="17"/>
      <c r="D82" s="25"/>
      <c r="E82" s="26"/>
      <c r="F82" s="16"/>
      <c r="G82" s="43"/>
    </row>
    <row r="83" spans="1:8" ht="15.75" thickBot="1" x14ac:dyDescent="0.3">
      <c r="B83" s="44" t="s">
        <v>240</v>
      </c>
      <c r="C83" s="45" t="s">
        <v>924</v>
      </c>
      <c r="D83" s="46"/>
      <c r="E83" s="47"/>
      <c r="F83" s="16" t="s">
        <v>178</v>
      </c>
      <c r="G83" s="113">
        <f>G78+G81</f>
        <v>9.1950000000000003</v>
      </c>
    </row>
    <row r="84" spans="1:8" x14ac:dyDescent="0.25">
      <c r="B84" s="23" t="s">
        <v>15</v>
      </c>
      <c r="C84" s="22" t="s">
        <v>234</v>
      </c>
      <c r="D84" s="21"/>
      <c r="E84" s="21"/>
      <c r="F84" s="21"/>
      <c r="G84" s="21"/>
    </row>
    <row r="85" spans="1:8" x14ac:dyDescent="0.25">
      <c r="B85" s="23" t="s">
        <v>16</v>
      </c>
      <c r="C85" s="22" t="s">
        <v>49</v>
      </c>
      <c r="D85" s="21"/>
      <c r="E85" s="21"/>
      <c r="F85" s="21"/>
      <c r="G85" s="21"/>
    </row>
    <row r="86" spans="1:8" ht="15.75" thickBot="1" x14ac:dyDescent="0.3">
      <c r="B86" s="23" t="s">
        <v>31</v>
      </c>
      <c r="C86" s="22" t="s">
        <v>41</v>
      </c>
      <c r="D86" s="21"/>
      <c r="E86" s="21"/>
      <c r="F86" s="21"/>
      <c r="G86" s="21"/>
    </row>
    <row r="87" spans="1:8" x14ac:dyDescent="0.25">
      <c r="B87" s="30" t="s">
        <v>122</v>
      </c>
      <c r="C87" s="51" t="s">
        <v>1103</v>
      </c>
      <c r="D87" s="32"/>
      <c r="E87" s="69" t="s">
        <v>193</v>
      </c>
      <c r="F87" s="33" t="s">
        <v>192</v>
      </c>
      <c r="G87" s="34" t="s">
        <v>225</v>
      </c>
      <c r="H87" s="181"/>
    </row>
    <row r="88" spans="1:8" x14ac:dyDescent="0.25">
      <c r="B88" s="35" t="s">
        <v>0</v>
      </c>
      <c r="C88" s="20" t="s">
        <v>1</v>
      </c>
      <c r="D88" s="20" t="s">
        <v>190</v>
      </c>
      <c r="E88" s="59" t="s">
        <v>189</v>
      </c>
      <c r="F88" s="18" t="s">
        <v>188</v>
      </c>
      <c r="G88" s="64" t="s">
        <v>187</v>
      </c>
    </row>
    <row r="89" spans="1:8" x14ac:dyDescent="0.25">
      <c r="B89" s="358" t="s">
        <v>186</v>
      </c>
      <c r="C89" s="359"/>
      <c r="D89" s="216"/>
      <c r="E89" s="26"/>
      <c r="F89" s="36"/>
      <c r="G89" s="37"/>
    </row>
    <row r="90" spans="1:8" x14ac:dyDescent="0.25">
      <c r="B90" s="215">
        <v>88256</v>
      </c>
      <c r="C90" s="17" t="s">
        <v>202</v>
      </c>
      <c r="D90" s="216" t="s">
        <v>200</v>
      </c>
      <c r="E90" s="41">
        <f>0.2553+0.7</f>
        <v>0.95530000000000004</v>
      </c>
      <c r="F90" s="27">
        <v>19.89</v>
      </c>
      <c r="G90" s="37">
        <f>E90*F90</f>
        <v>19.000917000000001</v>
      </c>
    </row>
    <row r="91" spans="1:8" x14ac:dyDescent="0.25">
      <c r="B91" s="215">
        <v>88316</v>
      </c>
      <c r="C91" s="17" t="s">
        <v>201</v>
      </c>
      <c r="D91" s="216" t="s">
        <v>200</v>
      </c>
      <c r="E91" s="41">
        <f>0.7195+0.27</f>
        <v>0.98950000000000005</v>
      </c>
      <c r="F91" s="27">
        <v>16.21</v>
      </c>
      <c r="G91" s="37">
        <f>E91*F91</f>
        <v>16.039795000000002</v>
      </c>
    </row>
    <row r="92" spans="1:8" x14ac:dyDescent="0.25">
      <c r="B92" s="215"/>
      <c r="C92" s="25"/>
      <c r="D92" s="25"/>
      <c r="E92" s="52"/>
      <c r="F92" s="39" t="s">
        <v>183</v>
      </c>
      <c r="G92" s="40">
        <f>SUM(G90:G91)</f>
        <v>35.040711999999999</v>
      </c>
    </row>
    <row r="93" spans="1:8" x14ac:dyDescent="0.25">
      <c r="B93" s="358" t="s">
        <v>182</v>
      </c>
      <c r="C93" s="359"/>
      <c r="D93" s="216"/>
      <c r="E93" s="41"/>
      <c r="F93" s="36"/>
      <c r="G93" s="37"/>
    </row>
    <row r="94" spans="1:8" x14ac:dyDescent="0.25">
      <c r="A94" s="240"/>
      <c r="B94" s="215" t="str">
        <f>'MAPA COTAÇÃO'!B27</f>
        <v>COT-3</v>
      </c>
      <c r="C94" s="55" t="str">
        <f>'MAPA COTAÇÃO'!B32</f>
        <v>PORCELANATO BIANCO TU 60X60CM POLIDO - PORTOBELLO</v>
      </c>
      <c r="D94" s="216" t="str">
        <f>'MAPA COTAÇÃO'!D32</f>
        <v>M²</v>
      </c>
      <c r="E94" s="41">
        <v>1.08</v>
      </c>
      <c r="F94" s="42">
        <f>'MAPA COTAÇÃO'!J32</f>
        <v>184.24650349650352</v>
      </c>
      <c r="G94" s="37">
        <f>E94*F94</f>
        <v>198.98622377622382</v>
      </c>
    </row>
    <row r="95" spans="1:8" x14ac:dyDescent="0.25">
      <c r="B95" s="215">
        <v>37595</v>
      </c>
      <c r="C95" s="17" t="s">
        <v>228</v>
      </c>
      <c r="D95" s="216" t="s">
        <v>2</v>
      </c>
      <c r="E95" s="41">
        <v>8.6199999999999992</v>
      </c>
      <c r="F95" s="42">
        <v>1.1000000000000001</v>
      </c>
      <c r="G95" s="37">
        <f>E95*F95</f>
        <v>9.4819999999999993</v>
      </c>
    </row>
    <row r="96" spans="1:8" x14ac:dyDescent="0.25">
      <c r="B96" s="215">
        <v>34357</v>
      </c>
      <c r="C96" s="17" t="s">
        <v>198</v>
      </c>
      <c r="D96" s="216" t="s">
        <v>2</v>
      </c>
      <c r="E96" s="41">
        <v>0.14000000000000001</v>
      </c>
      <c r="F96" s="42">
        <v>2.29</v>
      </c>
      <c r="G96" s="37">
        <f>E96*F96</f>
        <v>0.32060000000000005</v>
      </c>
    </row>
    <row r="97" spans="2:7" x14ac:dyDescent="0.25">
      <c r="B97" s="215"/>
      <c r="C97" s="25"/>
      <c r="D97" s="25"/>
      <c r="E97" s="26"/>
      <c r="F97" s="27" t="s">
        <v>179</v>
      </c>
      <c r="G97" s="40">
        <f>SUM(G94:G96)</f>
        <v>208.78882377622384</v>
      </c>
    </row>
    <row r="98" spans="2:7" ht="15.75" thickBot="1" x14ac:dyDescent="0.3">
      <c r="B98" s="215"/>
      <c r="C98" s="17" t="s">
        <v>682</v>
      </c>
      <c r="D98" s="25"/>
      <c r="E98" s="26"/>
      <c r="F98" s="16"/>
      <c r="G98" s="43"/>
    </row>
    <row r="99" spans="2:7" ht="15.75" thickBot="1" x14ac:dyDescent="0.3">
      <c r="B99" s="44" t="s">
        <v>240</v>
      </c>
      <c r="C99" s="45" t="s">
        <v>876</v>
      </c>
      <c r="D99" s="46"/>
      <c r="E99" s="47"/>
      <c r="F99" s="16" t="s">
        <v>178</v>
      </c>
      <c r="G99" s="113">
        <f>G92+G97</f>
        <v>243.82953577622385</v>
      </c>
    </row>
    <row r="100" spans="2:7" ht="22.5" x14ac:dyDescent="0.25">
      <c r="B100" s="30" t="s">
        <v>123</v>
      </c>
      <c r="C100" s="51" t="s">
        <v>1105</v>
      </c>
      <c r="D100" s="32"/>
      <c r="E100" s="69" t="s">
        <v>193</v>
      </c>
      <c r="F100" s="33" t="s">
        <v>192</v>
      </c>
      <c r="G100" s="34" t="s">
        <v>225</v>
      </c>
    </row>
    <row r="101" spans="2:7" x14ac:dyDescent="0.25">
      <c r="B101" s="35" t="s">
        <v>0</v>
      </c>
      <c r="C101" s="20" t="s">
        <v>1</v>
      </c>
      <c r="D101" s="20" t="s">
        <v>190</v>
      </c>
      <c r="E101" s="59" t="s">
        <v>189</v>
      </c>
      <c r="F101" s="18" t="s">
        <v>188</v>
      </c>
      <c r="G101" s="64" t="s">
        <v>187</v>
      </c>
    </row>
    <row r="102" spans="2:7" x14ac:dyDescent="0.25">
      <c r="B102" s="358" t="s">
        <v>186</v>
      </c>
      <c r="C102" s="359"/>
      <c r="D102" s="216"/>
      <c r="E102" s="26"/>
      <c r="F102" s="36"/>
      <c r="G102" s="37"/>
    </row>
    <row r="103" spans="2:7" x14ac:dyDescent="0.25">
      <c r="B103" s="215">
        <v>88256</v>
      </c>
      <c r="C103" s="17" t="s">
        <v>202</v>
      </c>
      <c r="D103" s="216" t="s">
        <v>200</v>
      </c>
      <c r="E103" s="26">
        <f>0.2553+0.49</f>
        <v>0.74530000000000007</v>
      </c>
      <c r="F103" s="27">
        <v>19.89</v>
      </c>
      <c r="G103" s="37">
        <f>E103*F103</f>
        <v>14.824017000000001</v>
      </c>
    </row>
    <row r="104" spans="2:7" x14ac:dyDescent="0.25">
      <c r="B104" s="215">
        <v>88316</v>
      </c>
      <c r="C104" s="17" t="s">
        <v>201</v>
      </c>
      <c r="D104" s="216" t="s">
        <v>200</v>
      </c>
      <c r="E104" s="26">
        <f>0.7195+0.21</f>
        <v>0.92949999999999999</v>
      </c>
      <c r="F104" s="27">
        <v>16.21</v>
      </c>
      <c r="G104" s="37">
        <f>E104*F104</f>
        <v>15.067195</v>
      </c>
    </row>
    <row r="105" spans="2:7" x14ac:dyDescent="0.25">
      <c r="B105" s="215"/>
      <c r="C105" s="25"/>
      <c r="D105" s="25"/>
      <c r="E105" s="53"/>
      <c r="F105" s="39" t="s">
        <v>183</v>
      </c>
      <c r="G105" s="40">
        <f>SUM(G103:G104)</f>
        <v>29.891212000000003</v>
      </c>
    </row>
    <row r="106" spans="2:7" x14ac:dyDescent="0.25">
      <c r="B106" s="358" t="s">
        <v>182</v>
      </c>
      <c r="C106" s="359"/>
      <c r="D106" s="216"/>
      <c r="E106" s="26"/>
      <c r="F106" s="36"/>
      <c r="G106" s="37"/>
    </row>
    <row r="107" spans="2:7" x14ac:dyDescent="0.25">
      <c r="B107" s="215">
        <v>1381</v>
      </c>
      <c r="C107" s="17" t="s">
        <v>199</v>
      </c>
      <c r="D107" s="216" t="s">
        <v>2</v>
      </c>
      <c r="E107" s="41">
        <v>6.14</v>
      </c>
      <c r="F107" s="27">
        <v>0.36</v>
      </c>
      <c r="G107" s="37">
        <f>E107*F107</f>
        <v>2.2103999999999999</v>
      </c>
    </row>
    <row r="108" spans="2:7" x14ac:dyDescent="0.25">
      <c r="B108" s="215">
        <v>34357</v>
      </c>
      <c r="C108" s="17" t="s">
        <v>198</v>
      </c>
      <c r="D108" s="216" t="s">
        <v>2</v>
      </c>
      <c r="E108" s="41">
        <v>0.19</v>
      </c>
      <c r="F108" s="27">
        <v>2.29</v>
      </c>
      <c r="G108" s="37">
        <f>E108*F108</f>
        <v>0.43509999999999999</v>
      </c>
    </row>
    <row r="109" spans="2:7" x14ac:dyDescent="0.25">
      <c r="B109" s="215"/>
      <c r="C109" s="25"/>
      <c r="D109" s="25"/>
      <c r="E109" s="26"/>
      <c r="F109" s="27" t="s">
        <v>179</v>
      </c>
      <c r="G109" s="40">
        <f>SUM(G107:G108)</f>
        <v>2.6454999999999997</v>
      </c>
    </row>
    <row r="110" spans="2:7" ht="15.75" thickBot="1" x14ac:dyDescent="0.3">
      <c r="B110" s="215"/>
      <c r="C110" s="17"/>
      <c r="D110" s="25"/>
      <c r="E110" s="26"/>
      <c r="F110" s="16"/>
      <c r="G110" s="43"/>
    </row>
    <row r="111" spans="2:7" ht="15.75" thickBot="1" x14ac:dyDescent="0.3">
      <c r="B111" s="44" t="s">
        <v>240</v>
      </c>
      <c r="C111" s="45" t="s">
        <v>877</v>
      </c>
      <c r="D111" s="46"/>
      <c r="E111" s="47"/>
      <c r="F111" s="16" t="s">
        <v>178</v>
      </c>
      <c r="G111" s="113">
        <f>G105+G109</f>
        <v>32.536712000000001</v>
      </c>
    </row>
    <row r="112" spans="2:7" ht="15.75" thickBot="1" x14ac:dyDescent="0.3">
      <c r="B112" s="23" t="s">
        <v>32</v>
      </c>
      <c r="C112" s="22" t="s">
        <v>42</v>
      </c>
      <c r="D112" s="21"/>
      <c r="E112" s="21"/>
      <c r="F112" s="21"/>
      <c r="G112" s="21"/>
    </row>
    <row r="113" spans="1:8" x14ac:dyDescent="0.25">
      <c r="B113" s="30" t="s">
        <v>124</v>
      </c>
      <c r="C113" s="51" t="s">
        <v>1104</v>
      </c>
      <c r="D113" s="32"/>
      <c r="E113" s="69" t="s">
        <v>193</v>
      </c>
      <c r="F113" s="33" t="s">
        <v>192</v>
      </c>
      <c r="G113" s="34" t="s">
        <v>225</v>
      </c>
      <c r="H113" s="181"/>
    </row>
    <row r="114" spans="1:8" x14ac:dyDescent="0.25">
      <c r="B114" s="35" t="s">
        <v>0</v>
      </c>
      <c r="C114" s="20" t="s">
        <v>1</v>
      </c>
      <c r="D114" s="20" t="s">
        <v>190</v>
      </c>
      <c r="E114" s="59" t="s">
        <v>189</v>
      </c>
      <c r="F114" s="18" t="s">
        <v>188</v>
      </c>
      <c r="G114" s="64" t="s">
        <v>187</v>
      </c>
    </row>
    <row r="115" spans="1:8" x14ac:dyDescent="0.25">
      <c r="B115" s="358" t="s">
        <v>186</v>
      </c>
      <c r="C115" s="359"/>
      <c r="D115" s="216"/>
      <c r="E115" s="26"/>
      <c r="F115" s="36"/>
      <c r="G115" s="37"/>
    </row>
    <row r="116" spans="1:8" x14ac:dyDescent="0.25">
      <c r="B116" s="215">
        <v>88274</v>
      </c>
      <c r="C116" s="17" t="s">
        <v>229</v>
      </c>
      <c r="D116" s="216" t="s">
        <v>200</v>
      </c>
      <c r="E116" s="26">
        <f>0.2553+0.5</f>
        <v>0.75530000000000008</v>
      </c>
      <c r="F116" s="27">
        <v>20.52</v>
      </c>
      <c r="G116" s="37">
        <f>E116*F116</f>
        <v>15.498756000000002</v>
      </c>
    </row>
    <row r="117" spans="1:8" x14ac:dyDescent="0.25">
      <c r="B117" s="215">
        <v>88316</v>
      </c>
      <c r="C117" s="17" t="s">
        <v>201</v>
      </c>
      <c r="D117" s="216" t="s">
        <v>200</v>
      </c>
      <c r="E117" s="26">
        <f>0.7195+0.5</f>
        <v>1.2195</v>
      </c>
      <c r="F117" s="27">
        <v>16.21</v>
      </c>
      <c r="G117" s="37">
        <f>E117*F117</f>
        <v>19.768095000000002</v>
      </c>
    </row>
    <row r="118" spans="1:8" x14ac:dyDescent="0.25">
      <c r="B118" s="215"/>
      <c r="C118" s="25"/>
      <c r="D118" s="25"/>
      <c r="E118" s="53"/>
      <c r="F118" s="39" t="s">
        <v>183</v>
      </c>
      <c r="G118" s="40">
        <f>SUM(G116:G117)</f>
        <v>35.266851000000003</v>
      </c>
    </row>
    <row r="119" spans="1:8" x14ac:dyDescent="0.25">
      <c r="B119" s="358" t="s">
        <v>182</v>
      </c>
      <c r="C119" s="359"/>
      <c r="D119" s="216"/>
      <c r="E119" s="26"/>
      <c r="F119" s="36"/>
      <c r="G119" s="37"/>
    </row>
    <row r="120" spans="1:8" x14ac:dyDescent="0.25">
      <c r="A120" s="240"/>
      <c r="B120" s="215" t="str">
        <f>'MAPA COTAÇÃO'!B34</f>
        <v>COT-4</v>
      </c>
      <c r="C120" s="55" t="str">
        <f>'MAPA COTAÇÃO'!B39</f>
        <v>GRANITO AMARELO SANTA CECÍLIA</v>
      </c>
      <c r="D120" s="216" t="str">
        <f>'MAPA COTAÇÃO'!D39</f>
        <v>M²</v>
      </c>
      <c r="E120" s="41">
        <v>1.05</v>
      </c>
      <c r="F120" s="42">
        <f>'MAPA COTAÇÃO'!J39</f>
        <v>370</v>
      </c>
      <c r="G120" s="37">
        <f>E120*F120</f>
        <v>388.5</v>
      </c>
    </row>
    <row r="121" spans="1:8" x14ac:dyDescent="0.25">
      <c r="B121" s="215">
        <v>1381</v>
      </c>
      <c r="C121" s="17" t="s">
        <v>199</v>
      </c>
      <c r="D121" s="216" t="s">
        <v>2</v>
      </c>
      <c r="E121" s="41">
        <v>8</v>
      </c>
      <c r="F121" s="42">
        <v>0.36</v>
      </c>
      <c r="G121" s="37">
        <f>E121*F121</f>
        <v>2.88</v>
      </c>
    </row>
    <row r="122" spans="1:8" x14ac:dyDescent="0.25">
      <c r="B122" s="215">
        <v>1380</v>
      </c>
      <c r="C122" s="17" t="s">
        <v>231</v>
      </c>
      <c r="D122" s="216" t="s">
        <v>2</v>
      </c>
      <c r="E122" s="41">
        <v>0.21099999999999999</v>
      </c>
      <c r="F122" s="42">
        <v>2.86</v>
      </c>
      <c r="G122" s="37">
        <f>E122*F122</f>
        <v>0.60346</v>
      </c>
    </row>
    <row r="123" spans="1:8" x14ac:dyDescent="0.25">
      <c r="B123" s="215"/>
      <c r="C123" s="25"/>
      <c r="D123" s="25"/>
      <c r="E123" s="26"/>
      <c r="F123" s="27" t="s">
        <v>179</v>
      </c>
      <c r="G123" s="40">
        <f>SUM(G120:G122)</f>
        <v>391.98345999999998</v>
      </c>
    </row>
    <row r="124" spans="1:8" ht="15.75" thickBot="1" x14ac:dyDescent="0.3">
      <c r="B124" s="215"/>
      <c r="C124" s="17" t="s">
        <v>682</v>
      </c>
      <c r="D124" s="25"/>
      <c r="E124" s="26"/>
      <c r="F124" s="16"/>
      <c r="G124" s="43"/>
    </row>
    <row r="125" spans="1:8" ht="15.75" thickBot="1" x14ac:dyDescent="0.3">
      <c r="B125" s="44" t="s">
        <v>240</v>
      </c>
      <c r="C125" s="45" t="s">
        <v>878</v>
      </c>
      <c r="D125" s="46"/>
      <c r="E125" s="47"/>
      <c r="F125" s="16" t="s">
        <v>178</v>
      </c>
      <c r="G125" s="113">
        <f>G118+G123</f>
        <v>427.25031100000001</v>
      </c>
    </row>
    <row r="126" spans="1:8" x14ac:dyDescent="0.25">
      <c r="B126" s="30" t="s">
        <v>244</v>
      </c>
      <c r="C126" s="51" t="s">
        <v>1106</v>
      </c>
      <c r="D126" s="32"/>
      <c r="E126" s="69" t="s">
        <v>193</v>
      </c>
      <c r="F126" s="33" t="s">
        <v>192</v>
      </c>
      <c r="G126" s="34" t="s">
        <v>227</v>
      </c>
      <c r="H126" s="181"/>
    </row>
    <row r="127" spans="1:8" x14ac:dyDescent="0.25">
      <c r="B127" s="35" t="s">
        <v>0</v>
      </c>
      <c r="C127" s="20" t="s">
        <v>1</v>
      </c>
      <c r="D127" s="20" t="s">
        <v>190</v>
      </c>
      <c r="E127" s="59" t="s">
        <v>189</v>
      </c>
      <c r="F127" s="18" t="s">
        <v>188</v>
      </c>
      <c r="G127" s="64" t="s">
        <v>187</v>
      </c>
    </row>
    <row r="128" spans="1:8" x14ac:dyDescent="0.25">
      <c r="B128" s="358" t="s">
        <v>186</v>
      </c>
      <c r="C128" s="359"/>
      <c r="D128" s="216"/>
      <c r="E128" s="26"/>
      <c r="F128" s="36"/>
      <c r="G128" s="37"/>
    </row>
    <row r="129" spans="1:7" x14ac:dyDescent="0.25">
      <c r="B129" s="215">
        <v>88309</v>
      </c>
      <c r="C129" s="17" t="s">
        <v>215</v>
      </c>
      <c r="D129" s="216" t="s">
        <v>200</v>
      </c>
      <c r="E129" s="26">
        <f>0.0293+0.15*4</f>
        <v>0.62929999999999997</v>
      </c>
      <c r="F129" s="27">
        <v>21.74</v>
      </c>
      <c r="G129" s="37">
        <f>E129*F129</f>
        <v>13.680981999999998</v>
      </c>
    </row>
    <row r="130" spans="1:7" x14ac:dyDescent="0.25">
      <c r="B130" s="215">
        <v>88316</v>
      </c>
      <c r="C130" s="17" t="s">
        <v>201</v>
      </c>
      <c r="D130" s="216" t="s">
        <v>200</v>
      </c>
      <c r="E130" s="26">
        <f>0.0825+0.1*4</f>
        <v>0.48250000000000004</v>
      </c>
      <c r="F130" s="27">
        <v>16.21</v>
      </c>
      <c r="G130" s="37">
        <f>E130*F130</f>
        <v>7.8213250000000007</v>
      </c>
    </row>
    <row r="131" spans="1:7" x14ac:dyDescent="0.25">
      <c r="B131" s="215"/>
      <c r="C131" s="25"/>
      <c r="D131" s="25"/>
      <c r="E131" s="53"/>
      <c r="F131" s="39" t="s">
        <v>183</v>
      </c>
      <c r="G131" s="40">
        <f>SUM(G129:G130)</f>
        <v>21.502306999999998</v>
      </c>
    </row>
    <row r="132" spans="1:7" x14ac:dyDescent="0.25">
      <c r="B132" s="358" t="s">
        <v>182</v>
      </c>
      <c r="C132" s="359"/>
      <c r="D132" s="216"/>
      <c r="E132" s="26"/>
      <c r="F132" s="36"/>
      <c r="G132" s="37"/>
    </row>
    <row r="133" spans="1:7" x14ac:dyDescent="0.25">
      <c r="A133" s="240"/>
      <c r="B133" s="215" t="str">
        <f>'MAPA COTAÇÃO'!B35</f>
        <v>COT-5</v>
      </c>
      <c r="C133" s="55" t="str">
        <f>'MAPA COTAÇÃO'!B40</f>
        <v>SOLEIRA EM GRANITO AMARELO SANTA CECÍLIA LARG=15 A 20CM</v>
      </c>
      <c r="D133" s="216" t="str">
        <f>'MAPA COTAÇÃO'!D40</f>
        <v>M</v>
      </c>
      <c r="E133" s="41">
        <v>1</v>
      </c>
      <c r="F133" s="27">
        <f>'MAPA COTAÇÃO'!J40</f>
        <v>90</v>
      </c>
      <c r="G133" s="37">
        <f>E133*F133</f>
        <v>90</v>
      </c>
    </row>
    <row r="134" spans="1:7" x14ac:dyDescent="0.25">
      <c r="B134" s="215">
        <v>1381</v>
      </c>
      <c r="C134" s="17" t="s">
        <v>199</v>
      </c>
      <c r="D134" s="216" t="s">
        <v>2</v>
      </c>
      <c r="E134" s="41">
        <v>0.54</v>
      </c>
      <c r="F134" s="27">
        <v>0.36</v>
      </c>
      <c r="G134" s="37">
        <f>E134*F134</f>
        <v>0.19440000000000002</v>
      </c>
    </row>
    <row r="135" spans="1:7" x14ac:dyDescent="0.25">
      <c r="B135" s="215"/>
      <c r="C135" s="25"/>
      <c r="D135" s="25"/>
      <c r="E135" s="26"/>
      <c r="F135" s="27" t="s">
        <v>179</v>
      </c>
      <c r="G135" s="40">
        <f>SUM(G133:G134)</f>
        <v>90.194400000000002</v>
      </c>
    </row>
    <row r="136" spans="1:7" ht="15.75" thickBot="1" x14ac:dyDescent="0.3">
      <c r="B136" s="215"/>
      <c r="C136" s="17" t="s">
        <v>682</v>
      </c>
      <c r="D136" s="25"/>
      <c r="E136" s="26"/>
      <c r="F136" s="16"/>
      <c r="G136" s="43"/>
    </row>
    <row r="137" spans="1:7" ht="15.75" thickBot="1" x14ac:dyDescent="0.3">
      <c r="B137" s="44" t="s">
        <v>240</v>
      </c>
      <c r="C137" s="45" t="s">
        <v>879</v>
      </c>
      <c r="D137" s="46"/>
      <c r="E137" s="47"/>
      <c r="F137" s="16" t="s">
        <v>178</v>
      </c>
      <c r="G137" s="113">
        <f>G131+G135</f>
        <v>111.696707</v>
      </c>
    </row>
    <row r="138" spans="1:7" ht="15.75" thickBot="1" x14ac:dyDescent="0.3">
      <c r="B138" s="23" t="s">
        <v>33</v>
      </c>
      <c r="C138" s="22" t="s">
        <v>43</v>
      </c>
      <c r="D138" s="21"/>
      <c r="E138" s="21"/>
      <c r="F138" s="21"/>
      <c r="G138" s="21"/>
    </row>
    <row r="139" spans="1:7" x14ac:dyDescent="0.25">
      <c r="B139" s="30" t="s">
        <v>125</v>
      </c>
      <c r="C139" s="51" t="s">
        <v>868</v>
      </c>
      <c r="D139" s="32"/>
      <c r="E139" s="69" t="s">
        <v>193</v>
      </c>
      <c r="F139" s="33" t="s">
        <v>192</v>
      </c>
      <c r="G139" s="34" t="s">
        <v>227</v>
      </c>
    </row>
    <row r="140" spans="1:7" x14ac:dyDescent="0.25">
      <c r="B140" s="35" t="s">
        <v>0</v>
      </c>
      <c r="C140" s="20" t="s">
        <v>1</v>
      </c>
      <c r="D140" s="20" t="s">
        <v>190</v>
      </c>
      <c r="E140" s="59" t="s">
        <v>189</v>
      </c>
      <c r="F140" s="18" t="s">
        <v>188</v>
      </c>
      <c r="G140" s="64" t="s">
        <v>187</v>
      </c>
    </row>
    <row r="141" spans="1:7" x14ac:dyDescent="0.25">
      <c r="B141" s="358" t="s">
        <v>186</v>
      </c>
      <c r="C141" s="359"/>
      <c r="D141" s="216"/>
      <c r="E141" s="26"/>
      <c r="F141" s="36"/>
      <c r="G141" s="37"/>
    </row>
    <row r="142" spans="1:7" x14ac:dyDescent="0.25">
      <c r="B142" s="50">
        <v>88243</v>
      </c>
      <c r="C142" s="17" t="s">
        <v>395</v>
      </c>
      <c r="D142" s="216" t="s">
        <v>184</v>
      </c>
      <c r="E142" s="71">
        <f>0.15+0.0825</f>
        <v>0.23249999999999998</v>
      </c>
      <c r="F142" s="27">
        <v>17.29</v>
      </c>
      <c r="G142" s="37">
        <f>E142*F142</f>
        <v>4.0199249999999997</v>
      </c>
    </row>
    <row r="143" spans="1:7" x14ac:dyDescent="0.25">
      <c r="B143" s="50">
        <v>88261</v>
      </c>
      <c r="C143" s="17" t="s">
        <v>212</v>
      </c>
      <c r="D143" s="216" t="s">
        <v>184</v>
      </c>
      <c r="E143" s="71">
        <f>0.15+0.0293</f>
        <v>0.17929999999999999</v>
      </c>
      <c r="F143" s="27">
        <v>21.38</v>
      </c>
      <c r="G143" s="37">
        <f>E143*F143</f>
        <v>3.8334339999999996</v>
      </c>
    </row>
    <row r="144" spans="1:7" x14ac:dyDescent="0.25">
      <c r="B144" s="215"/>
      <c r="C144" s="25"/>
      <c r="D144" s="25"/>
      <c r="E144" s="68"/>
      <c r="F144" s="39" t="s">
        <v>183</v>
      </c>
      <c r="G144" s="40">
        <f>SUM(G142:G143)</f>
        <v>7.8533589999999993</v>
      </c>
    </row>
    <row r="145" spans="2:8" x14ac:dyDescent="0.25">
      <c r="B145" s="358" t="s">
        <v>182</v>
      </c>
      <c r="C145" s="359"/>
      <c r="D145" s="216"/>
      <c r="E145" s="54"/>
      <c r="F145" s="36"/>
      <c r="G145" s="37"/>
    </row>
    <row r="146" spans="2:8" x14ac:dyDescent="0.25">
      <c r="B146" s="50">
        <v>1339</v>
      </c>
      <c r="C146" s="17" t="s">
        <v>396</v>
      </c>
      <c r="D146" s="216" t="s">
        <v>2</v>
      </c>
      <c r="E146" s="71">
        <v>0.04</v>
      </c>
      <c r="F146" s="27">
        <v>18.87</v>
      </c>
      <c r="G146" s="37">
        <f>E146*F146</f>
        <v>0.75480000000000003</v>
      </c>
    </row>
    <row r="147" spans="2:8" ht="22.5" x14ac:dyDescent="0.25">
      <c r="B147" s="50">
        <v>6186</v>
      </c>
      <c r="C147" s="17" t="s">
        <v>397</v>
      </c>
      <c r="D147" s="216" t="s">
        <v>11</v>
      </c>
      <c r="E147" s="71">
        <v>1.03</v>
      </c>
      <c r="F147" s="27">
        <v>5.0599999999999996</v>
      </c>
      <c r="G147" s="37">
        <f>E147*F147</f>
        <v>5.2117999999999993</v>
      </c>
    </row>
    <row r="148" spans="2:8" x14ac:dyDescent="0.25">
      <c r="B148" s="215"/>
      <c r="C148" s="25"/>
      <c r="D148" s="25"/>
      <c r="E148" s="26"/>
      <c r="F148" s="27" t="s">
        <v>179</v>
      </c>
      <c r="G148" s="40">
        <f>SUM(G146:G147)</f>
        <v>5.9665999999999997</v>
      </c>
    </row>
    <row r="149" spans="2:8" ht="15.75" thickBot="1" x14ac:dyDescent="0.3">
      <c r="B149" s="215"/>
      <c r="C149" s="17"/>
      <c r="D149" s="25"/>
      <c r="E149" s="26"/>
      <c r="F149" s="16"/>
      <c r="G149" s="43"/>
    </row>
    <row r="150" spans="2:8" ht="15.75" thickBot="1" x14ac:dyDescent="0.3">
      <c r="B150" s="44" t="s">
        <v>240</v>
      </c>
      <c r="C150" s="45" t="s">
        <v>880</v>
      </c>
      <c r="D150" s="46"/>
      <c r="E150" s="47"/>
      <c r="F150" s="16" t="s">
        <v>178</v>
      </c>
      <c r="G150" s="113">
        <f>G144+G148</f>
        <v>13.819958999999999</v>
      </c>
    </row>
    <row r="151" spans="2:8" x14ac:dyDescent="0.25">
      <c r="B151" s="30" t="s">
        <v>126</v>
      </c>
      <c r="C151" s="51" t="s">
        <v>1107</v>
      </c>
      <c r="D151" s="32"/>
      <c r="E151" s="69" t="s">
        <v>193</v>
      </c>
      <c r="F151" s="33" t="s">
        <v>192</v>
      </c>
      <c r="G151" s="34" t="s">
        <v>225</v>
      </c>
    </row>
    <row r="152" spans="2:8" x14ac:dyDescent="0.25">
      <c r="B152" s="35" t="s">
        <v>0</v>
      </c>
      <c r="C152" s="20" t="s">
        <v>1</v>
      </c>
      <c r="D152" s="20" t="s">
        <v>190</v>
      </c>
      <c r="E152" s="59" t="s">
        <v>189</v>
      </c>
      <c r="F152" s="18" t="s">
        <v>188</v>
      </c>
      <c r="G152" s="64" t="s">
        <v>187</v>
      </c>
    </row>
    <row r="153" spans="2:8" x14ac:dyDescent="0.25">
      <c r="B153" s="358" t="s">
        <v>186</v>
      </c>
      <c r="C153" s="359"/>
      <c r="D153" s="216"/>
      <c r="E153" s="26"/>
      <c r="F153" s="36"/>
      <c r="G153" s="37"/>
    </row>
    <row r="154" spans="2:8" x14ac:dyDescent="0.25">
      <c r="B154" s="50">
        <v>88261</v>
      </c>
      <c r="C154" s="17" t="s">
        <v>212</v>
      </c>
      <c r="D154" s="216" t="s">
        <v>184</v>
      </c>
      <c r="E154" s="71">
        <v>0.5</v>
      </c>
      <c r="F154" s="27">
        <v>21.38</v>
      </c>
      <c r="G154" s="37">
        <f>E154*F154</f>
        <v>10.69</v>
      </c>
    </row>
    <row r="155" spans="2:8" x14ac:dyDescent="0.25">
      <c r="B155" s="215">
        <v>88316</v>
      </c>
      <c r="C155" s="17" t="s">
        <v>201</v>
      </c>
      <c r="D155" s="216" t="s">
        <v>200</v>
      </c>
      <c r="E155" s="26">
        <v>0.5</v>
      </c>
      <c r="F155" s="27">
        <v>16.21</v>
      </c>
      <c r="G155" s="37">
        <f>E155*F155</f>
        <v>8.1050000000000004</v>
      </c>
    </row>
    <row r="156" spans="2:8" x14ac:dyDescent="0.25">
      <c r="B156" s="215"/>
      <c r="C156" s="25"/>
      <c r="D156" s="25"/>
      <c r="E156" s="53"/>
      <c r="F156" s="39" t="s">
        <v>183</v>
      </c>
      <c r="G156" s="40">
        <f>SUM(G154:G155)</f>
        <v>18.795000000000002</v>
      </c>
    </row>
    <row r="157" spans="2:8" x14ac:dyDescent="0.25">
      <c r="B157" s="358" t="s">
        <v>182</v>
      </c>
      <c r="C157" s="359"/>
      <c r="D157" s="216"/>
      <c r="E157" s="26"/>
      <c r="F157" s="36"/>
      <c r="G157" s="37"/>
    </row>
    <row r="158" spans="2:8" ht="24" x14ac:dyDescent="0.25">
      <c r="B158" s="215">
        <v>4791</v>
      </c>
      <c r="C158" s="55" t="s">
        <v>245</v>
      </c>
      <c r="D158" s="218" t="s">
        <v>2</v>
      </c>
      <c r="E158" s="41">
        <f>(0.27+0.4)/2</f>
        <v>0.33500000000000002</v>
      </c>
      <c r="F158" s="27">
        <v>17</v>
      </c>
      <c r="G158" s="37">
        <f>E158*F158</f>
        <v>5.6950000000000003</v>
      </c>
      <c r="H158" s="181" t="s">
        <v>398</v>
      </c>
    </row>
    <row r="159" spans="2:8" x14ac:dyDescent="0.25">
      <c r="B159" s="215"/>
      <c r="C159" s="25"/>
      <c r="D159" s="25"/>
      <c r="E159" s="26"/>
      <c r="F159" s="27" t="s">
        <v>179</v>
      </c>
      <c r="G159" s="40">
        <f>SUM(G158:G158)</f>
        <v>5.6950000000000003</v>
      </c>
    </row>
    <row r="160" spans="2:8" ht="15.75" thickBot="1" x14ac:dyDescent="0.3">
      <c r="B160" s="215"/>
      <c r="C160" s="17"/>
      <c r="D160" s="25"/>
      <c r="E160" s="26"/>
      <c r="F160" s="16"/>
      <c r="G160" s="43"/>
    </row>
    <row r="161" spans="1:8" ht="15.75" thickBot="1" x14ac:dyDescent="0.3">
      <c r="B161" s="44" t="s">
        <v>240</v>
      </c>
      <c r="C161" s="45" t="s">
        <v>889</v>
      </c>
      <c r="D161" s="46"/>
      <c r="E161" s="47"/>
      <c r="F161" s="16" t="s">
        <v>178</v>
      </c>
      <c r="G161" s="113">
        <f>G156+G159</f>
        <v>24.490000000000002</v>
      </c>
    </row>
    <row r="162" spans="1:8" ht="15.75" thickBot="1" x14ac:dyDescent="0.3">
      <c r="B162" s="23" t="s">
        <v>34</v>
      </c>
      <c r="C162" s="22" t="s">
        <v>50</v>
      </c>
      <c r="D162" s="21"/>
      <c r="E162" s="21"/>
      <c r="F162" s="21"/>
      <c r="G162" s="21"/>
    </row>
    <row r="163" spans="1:8" x14ac:dyDescent="0.25">
      <c r="B163" s="30" t="s">
        <v>127</v>
      </c>
      <c r="C163" s="51" t="s">
        <v>1108</v>
      </c>
      <c r="D163" s="32"/>
      <c r="E163" s="69" t="s">
        <v>193</v>
      </c>
      <c r="F163" s="33" t="s">
        <v>192</v>
      </c>
      <c r="G163" s="34" t="s">
        <v>225</v>
      </c>
      <c r="H163" s="337"/>
    </row>
    <row r="164" spans="1:8" x14ac:dyDescent="0.25">
      <c r="B164" s="35" t="s">
        <v>0</v>
      </c>
      <c r="C164" s="20" t="s">
        <v>1</v>
      </c>
      <c r="D164" s="20" t="s">
        <v>190</v>
      </c>
      <c r="E164" s="59" t="s">
        <v>189</v>
      </c>
      <c r="F164" s="18" t="s">
        <v>188</v>
      </c>
      <c r="G164" s="64" t="s">
        <v>187</v>
      </c>
      <c r="H164" s="337"/>
    </row>
    <row r="165" spans="1:8" x14ac:dyDescent="0.25">
      <c r="B165" s="356" t="s">
        <v>186</v>
      </c>
      <c r="C165" s="357"/>
      <c r="D165" s="216"/>
      <c r="E165" s="26"/>
      <c r="F165" s="36"/>
      <c r="G165" s="37"/>
      <c r="H165" s="337"/>
    </row>
    <row r="166" spans="1:8" x14ac:dyDescent="0.25">
      <c r="B166" s="215" t="str">
        <f>'MAPA COTAÇÃO'!B43</f>
        <v>COT-7</v>
      </c>
      <c r="C166" s="55" t="str">
        <f>'MAPA COTAÇÃO'!B48</f>
        <v>INSTALAÇÃO DE CARPETE</v>
      </c>
      <c r="D166" s="216" t="str">
        <f>'MAPA COTAÇÃO'!D48</f>
        <v>M²</v>
      </c>
      <c r="E166" s="26">
        <v>1</v>
      </c>
      <c r="F166" s="42">
        <f>'MAPA COTAÇÃO'!J48</f>
        <v>54.644808743169399</v>
      </c>
      <c r="G166" s="37">
        <f>E166*F166</f>
        <v>54.644808743169399</v>
      </c>
      <c r="H166" s="337"/>
    </row>
    <row r="167" spans="1:8" x14ac:dyDescent="0.25">
      <c r="B167" s="215"/>
      <c r="C167" s="25"/>
      <c r="D167" s="25"/>
      <c r="E167" s="53"/>
      <c r="F167" s="39" t="s">
        <v>183</v>
      </c>
      <c r="G167" s="40">
        <f>SUM(G166:G166)</f>
        <v>54.644808743169399</v>
      </c>
      <c r="H167" s="337"/>
    </row>
    <row r="168" spans="1:8" x14ac:dyDescent="0.25">
      <c r="B168" s="358" t="s">
        <v>182</v>
      </c>
      <c r="C168" s="359"/>
      <c r="D168" s="216"/>
      <c r="E168" s="26"/>
      <c r="F168" s="36"/>
      <c r="G168" s="37"/>
      <c r="H168" s="337"/>
    </row>
    <row r="169" spans="1:8" ht="22.5" x14ac:dyDescent="0.25">
      <c r="A169" s="240"/>
      <c r="B169" s="215" t="str">
        <f>'MAPA COTAÇÃO'!B42</f>
        <v>COT-6</v>
      </c>
      <c r="C169" s="55" t="str">
        <f>'MAPA COTAÇÃO'!B47</f>
        <v>CARPETE COMERCIAL EM ROLO BEAULIEU LINHA ASTRAL ANTRON COR REF.665 PÉGASUS</v>
      </c>
      <c r="D169" s="216" t="str">
        <f>'MAPA COTAÇÃO'!D47</f>
        <v>M²</v>
      </c>
      <c r="E169" s="41">
        <v>1</v>
      </c>
      <c r="F169" s="42">
        <f>'MAPA COTAÇÃO'!J47</f>
        <v>136.99</v>
      </c>
      <c r="G169" s="37">
        <f>E169*F169</f>
        <v>136.99</v>
      </c>
      <c r="H169" s="337"/>
    </row>
    <row r="170" spans="1:8" x14ac:dyDescent="0.25">
      <c r="B170" s="215"/>
      <c r="C170" s="25"/>
      <c r="D170" s="25"/>
      <c r="E170" s="26"/>
      <c r="F170" s="27" t="s">
        <v>179</v>
      </c>
      <c r="G170" s="40">
        <f>SUM(G169:G169)</f>
        <v>136.99</v>
      </c>
      <c r="H170" s="337"/>
    </row>
    <row r="171" spans="1:8" ht="15.75" thickBot="1" x14ac:dyDescent="0.3">
      <c r="B171" s="215"/>
      <c r="C171" s="17" t="s">
        <v>682</v>
      </c>
      <c r="D171" s="25"/>
      <c r="E171" s="26"/>
      <c r="F171" s="16"/>
      <c r="G171" s="43"/>
      <c r="H171" s="337"/>
    </row>
    <row r="172" spans="1:8" ht="15.75" thickBot="1" x14ac:dyDescent="0.3">
      <c r="B172" s="44" t="s">
        <v>240</v>
      </c>
      <c r="C172" s="45" t="s">
        <v>246</v>
      </c>
      <c r="D172" s="46"/>
      <c r="E172" s="47"/>
      <c r="F172" s="16" t="s">
        <v>178</v>
      </c>
      <c r="G172" s="113">
        <f>G167+G170</f>
        <v>191.6348087431694</v>
      </c>
      <c r="H172" s="337"/>
    </row>
    <row r="173" spans="1:8" x14ac:dyDescent="0.25">
      <c r="B173" s="23" t="s">
        <v>17</v>
      </c>
      <c r="C173" s="22" t="s">
        <v>247</v>
      </c>
      <c r="D173" s="21"/>
      <c r="E173" s="21"/>
      <c r="F173" s="21"/>
      <c r="G173" s="21"/>
    </row>
    <row r="174" spans="1:8" x14ac:dyDescent="0.25">
      <c r="B174" s="23" t="s">
        <v>35</v>
      </c>
      <c r="C174" s="22" t="s">
        <v>54</v>
      </c>
      <c r="D174" s="21"/>
      <c r="E174" s="21"/>
      <c r="F174" s="21"/>
      <c r="G174" s="21"/>
    </row>
    <row r="175" spans="1:8" ht="15.75" thickBot="1" x14ac:dyDescent="0.3">
      <c r="B175" s="23" t="s">
        <v>51</v>
      </c>
      <c r="C175" s="22" t="s">
        <v>12</v>
      </c>
      <c r="D175" s="21"/>
      <c r="E175" s="21"/>
      <c r="F175" s="21"/>
      <c r="G175" s="21"/>
    </row>
    <row r="176" spans="1:8" ht="22.5" x14ac:dyDescent="0.25">
      <c r="B176" s="30" t="s">
        <v>128</v>
      </c>
      <c r="C176" s="51" t="s">
        <v>402</v>
      </c>
      <c r="D176" s="32"/>
      <c r="E176" s="69" t="s">
        <v>399</v>
      </c>
      <c r="F176" s="33" t="s">
        <v>192</v>
      </c>
      <c r="G176" s="34" t="s">
        <v>203</v>
      </c>
    </row>
    <row r="177" spans="2:7" x14ac:dyDescent="0.25">
      <c r="B177" s="35" t="s">
        <v>0</v>
      </c>
      <c r="C177" s="20" t="s">
        <v>1</v>
      </c>
      <c r="D177" s="20" t="s">
        <v>190</v>
      </c>
      <c r="E177" s="59" t="s">
        <v>189</v>
      </c>
      <c r="F177" s="18" t="s">
        <v>188</v>
      </c>
      <c r="G177" s="64" t="s">
        <v>187</v>
      </c>
    </row>
    <row r="178" spans="2:7" x14ac:dyDescent="0.25">
      <c r="B178" s="358" t="s">
        <v>186</v>
      </c>
      <c r="C178" s="359"/>
      <c r="D178" s="216"/>
      <c r="E178" s="26"/>
      <c r="F178" s="36"/>
      <c r="G178" s="37"/>
    </row>
    <row r="179" spans="2:7" x14ac:dyDescent="0.25">
      <c r="B179" s="50">
        <v>88309</v>
      </c>
      <c r="C179" s="17" t="s">
        <v>215</v>
      </c>
      <c r="D179" s="216" t="s">
        <v>184</v>
      </c>
      <c r="E179" s="71">
        <v>4.2000000000000003E-2</v>
      </c>
      <c r="F179" s="27">
        <v>21.74</v>
      </c>
      <c r="G179" s="37">
        <f>E179*F179</f>
        <v>0.91308</v>
      </c>
    </row>
    <row r="180" spans="2:7" x14ac:dyDescent="0.25">
      <c r="B180" s="50">
        <v>88316</v>
      </c>
      <c r="C180" s="17" t="s">
        <v>201</v>
      </c>
      <c r="D180" s="216" t="s">
        <v>184</v>
      </c>
      <c r="E180" s="71">
        <v>4.1999999999999997E-3</v>
      </c>
      <c r="F180" s="27">
        <v>16.21</v>
      </c>
      <c r="G180" s="37">
        <f>E180*F180</f>
        <v>6.8082000000000004E-2</v>
      </c>
    </row>
    <row r="181" spans="2:7" x14ac:dyDescent="0.25">
      <c r="B181" s="215"/>
      <c r="C181" s="25"/>
      <c r="D181" s="25"/>
      <c r="E181" s="53"/>
      <c r="F181" s="39" t="s">
        <v>183</v>
      </c>
      <c r="G181" s="40">
        <f>SUM(G179:G180)</f>
        <v>0.98116199999999998</v>
      </c>
    </row>
    <row r="182" spans="2:7" x14ac:dyDescent="0.25">
      <c r="B182" s="358" t="s">
        <v>182</v>
      </c>
      <c r="C182" s="359"/>
      <c r="D182" s="216"/>
      <c r="E182" s="26"/>
      <c r="F182" s="36"/>
      <c r="G182" s="37"/>
    </row>
    <row r="183" spans="2:7" ht="22.5" x14ac:dyDescent="0.25">
      <c r="B183" s="50">
        <v>87401</v>
      </c>
      <c r="C183" s="17" t="s">
        <v>400</v>
      </c>
      <c r="D183" s="216" t="s">
        <v>253</v>
      </c>
      <c r="E183" s="67">
        <v>1.5E-3</v>
      </c>
      <c r="F183" s="42">
        <v>3403.81</v>
      </c>
      <c r="G183" s="37">
        <f>E183*F183</f>
        <v>5.105715</v>
      </c>
    </row>
    <row r="184" spans="2:7" x14ac:dyDescent="0.25">
      <c r="B184" s="215"/>
      <c r="C184" s="25"/>
      <c r="D184" s="25"/>
      <c r="E184" s="26"/>
      <c r="F184" s="27" t="s">
        <v>179</v>
      </c>
      <c r="G184" s="40">
        <f>SUM(G183:G183)</f>
        <v>5.105715</v>
      </c>
    </row>
    <row r="185" spans="2:7" ht="15.75" thickBot="1" x14ac:dyDescent="0.3">
      <c r="B185" s="215"/>
      <c r="C185" s="17"/>
      <c r="D185" s="25"/>
      <c r="E185" s="26"/>
      <c r="F185" s="16"/>
      <c r="G185" s="43"/>
    </row>
    <row r="186" spans="2:7" ht="15.75" thickBot="1" x14ac:dyDescent="0.3">
      <c r="B186" s="44" t="s">
        <v>240</v>
      </c>
      <c r="C186" s="45" t="s">
        <v>399</v>
      </c>
      <c r="D186" s="46"/>
      <c r="E186" s="47"/>
      <c r="F186" s="16" t="s">
        <v>178</v>
      </c>
      <c r="G186" s="113">
        <f>G181+G184</f>
        <v>6.0868770000000003</v>
      </c>
    </row>
    <row r="187" spans="2:7" ht="15.75" thickBot="1" x14ac:dyDescent="0.3">
      <c r="B187" s="23" t="s">
        <v>52</v>
      </c>
      <c r="C187" s="22" t="s">
        <v>55</v>
      </c>
      <c r="D187" s="21"/>
      <c r="E187" s="21"/>
      <c r="F187" s="21"/>
      <c r="G187" s="21"/>
    </row>
    <row r="188" spans="2:7" x14ac:dyDescent="0.25">
      <c r="B188" s="30" t="s">
        <v>129</v>
      </c>
      <c r="C188" s="51" t="s">
        <v>426</v>
      </c>
      <c r="D188" s="32"/>
      <c r="E188" s="69" t="s">
        <v>401</v>
      </c>
      <c r="F188" s="33" t="s">
        <v>192</v>
      </c>
      <c r="G188" s="34" t="s">
        <v>203</v>
      </c>
    </row>
    <row r="189" spans="2:7" x14ac:dyDescent="0.25">
      <c r="B189" s="35" t="s">
        <v>0</v>
      </c>
      <c r="C189" s="20" t="s">
        <v>1</v>
      </c>
      <c r="D189" s="20" t="s">
        <v>190</v>
      </c>
      <c r="E189" s="59" t="s">
        <v>189</v>
      </c>
      <c r="F189" s="18" t="s">
        <v>188</v>
      </c>
      <c r="G189" s="64" t="s">
        <v>187</v>
      </c>
    </row>
    <row r="190" spans="2:7" x14ac:dyDescent="0.25">
      <c r="B190" s="358" t="s">
        <v>186</v>
      </c>
      <c r="C190" s="359"/>
      <c r="D190" s="216"/>
      <c r="E190" s="26"/>
      <c r="F190" s="36"/>
      <c r="G190" s="37"/>
    </row>
    <row r="191" spans="2:7" x14ac:dyDescent="0.25">
      <c r="B191" s="50">
        <v>88309</v>
      </c>
      <c r="C191" s="17" t="s">
        <v>215</v>
      </c>
      <c r="D191" s="216" t="s">
        <v>184</v>
      </c>
      <c r="E191" s="71">
        <v>0.43</v>
      </c>
      <c r="F191" s="27">
        <v>21.74</v>
      </c>
      <c r="G191" s="37">
        <f>E191*F191</f>
        <v>9.3481999999999985</v>
      </c>
    </row>
    <row r="192" spans="2:7" x14ac:dyDescent="0.25">
      <c r="B192" s="50">
        <v>88316</v>
      </c>
      <c r="C192" s="17" t="s">
        <v>201</v>
      </c>
      <c r="D192" s="216" t="s">
        <v>184</v>
      </c>
      <c r="E192" s="71">
        <v>5.2999999999999999E-2</v>
      </c>
      <c r="F192" s="27">
        <v>16.21</v>
      </c>
      <c r="G192" s="37">
        <f>E192*F192</f>
        <v>0.85913000000000006</v>
      </c>
    </row>
    <row r="193" spans="2:7" x14ac:dyDescent="0.25">
      <c r="B193" s="215"/>
      <c r="C193" s="25"/>
      <c r="D193" s="25"/>
      <c r="E193" s="53"/>
      <c r="F193" s="39" t="s">
        <v>183</v>
      </c>
      <c r="G193" s="40">
        <f>SUM(G191:G192)</f>
        <v>10.207329999999999</v>
      </c>
    </row>
    <row r="194" spans="2:7" x14ac:dyDescent="0.25">
      <c r="B194" s="358" t="s">
        <v>182</v>
      </c>
      <c r="C194" s="359"/>
      <c r="D194" s="216"/>
      <c r="E194" s="26"/>
      <c r="F194" s="36"/>
      <c r="G194" s="37"/>
    </row>
    <row r="195" spans="2:7" ht="22.5" x14ac:dyDescent="0.25">
      <c r="B195" s="50">
        <v>87407</v>
      </c>
      <c r="C195" s="17" t="s">
        <v>403</v>
      </c>
      <c r="D195" s="216" t="s">
        <v>253</v>
      </c>
      <c r="E195" s="67">
        <v>3.7600000000000001E-2</v>
      </c>
      <c r="F195" s="42">
        <v>691.9</v>
      </c>
      <c r="G195" s="37">
        <f>E195*F195</f>
        <v>26.015440000000002</v>
      </c>
    </row>
    <row r="196" spans="2:7" x14ac:dyDescent="0.25">
      <c r="B196" s="215"/>
      <c r="C196" s="25"/>
      <c r="D196" s="25"/>
      <c r="E196" s="26"/>
      <c r="F196" s="27" t="s">
        <v>179</v>
      </c>
      <c r="G196" s="40">
        <f>SUM(G195:G195)</f>
        <v>26.015440000000002</v>
      </c>
    </row>
    <row r="197" spans="2:7" ht="15.75" thickBot="1" x14ac:dyDescent="0.3">
      <c r="B197" s="215"/>
      <c r="C197" s="17"/>
      <c r="D197" s="25"/>
      <c r="E197" s="26"/>
      <c r="F197" s="16"/>
      <c r="G197" s="43"/>
    </row>
    <row r="198" spans="2:7" ht="15.75" thickBot="1" x14ac:dyDescent="0.3">
      <c r="B198" s="44" t="s">
        <v>240</v>
      </c>
      <c r="C198" s="45" t="s">
        <v>401</v>
      </c>
      <c r="D198" s="46"/>
      <c r="E198" s="47"/>
      <c r="F198" s="16" t="s">
        <v>178</v>
      </c>
      <c r="G198" s="113">
        <f>G193+G196</f>
        <v>36.222769999999997</v>
      </c>
    </row>
    <row r="199" spans="2:7" ht="15.75" thickBot="1" x14ac:dyDescent="0.3">
      <c r="B199" s="23" t="s">
        <v>56</v>
      </c>
      <c r="C199" s="22" t="s">
        <v>41</v>
      </c>
      <c r="D199" s="21"/>
      <c r="E199" s="21"/>
      <c r="F199" s="21"/>
      <c r="G199" s="21"/>
    </row>
    <row r="200" spans="2:7" x14ac:dyDescent="0.25">
      <c r="B200" s="30" t="s">
        <v>57</v>
      </c>
      <c r="C200" s="51" t="s">
        <v>1109</v>
      </c>
      <c r="D200" s="32"/>
      <c r="E200" s="69" t="s">
        <v>193</v>
      </c>
      <c r="F200" s="33" t="s">
        <v>192</v>
      </c>
      <c r="G200" s="34" t="s">
        <v>203</v>
      </c>
    </row>
    <row r="201" spans="2:7" x14ac:dyDescent="0.25">
      <c r="B201" s="35" t="s">
        <v>0</v>
      </c>
      <c r="C201" s="20" t="s">
        <v>1</v>
      </c>
      <c r="D201" s="20" t="s">
        <v>190</v>
      </c>
      <c r="E201" s="59" t="s">
        <v>189</v>
      </c>
      <c r="F201" s="18" t="s">
        <v>188</v>
      </c>
      <c r="G201" s="64" t="s">
        <v>187</v>
      </c>
    </row>
    <row r="202" spans="2:7" x14ac:dyDescent="0.25">
      <c r="B202" s="358" t="s">
        <v>186</v>
      </c>
      <c r="C202" s="359"/>
      <c r="D202" s="216"/>
      <c r="E202" s="26"/>
      <c r="F202" s="36"/>
      <c r="G202" s="37"/>
    </row>
    <row r="203" spans="2:7" x14ac:dyDescent="0.25">
      <c r="B203" s="215">
        <v>88256</v>
      </c>
      <c r="C203" s="17" t="s">
        <v>202</v>
      </c>
      <c r="D203" s="216" t="s">
        <v>200</v>
      </c>
      <c r="E203" s="26">
        <f>0.2553+0.97</f>
        <v>1.2253000000000001</v>
      </c>
      <c r="F203" s="27">
        <v>19.89</v>
      </c>
      <c r="G203" s="37">
        <f>E203*F203</f>
        <v>24.371217000000001</v>
      </c>
    </row>
    <row r="204" spans="2:7" x14ac:dyDescent="0.25">
      <c r="B204" s="215">
        <v>88316</v>
      </c>
      <c r="C204" s="17" t="s">
        <v>201</v>
      </c>
      <c r="D204" s="216" t="s">
        <v>200</v>
      </c>
      <c r="E204" s="26">
        <f>0.7195+0.48</f>
        <v>1.1995</v>
      </c>
      <c r="F204" s="27">
        <v>16.21</v>
      </c>
      <c r="G204" s="37">
        <f>E204*F204</f>
        <v>19.443895000000001</v>
      </c>
    </row>
    <row r="205" spans="2:7" x14ac:dyDescent="0.25">
      <c r="B205" s="215"/>
      <c r="C205" s="25"/>
      <c r="D205" s="25"/>
      <c r="E205" s="53"/>
      <c r="F205" s="39" t="s">
        <v>183</v>
      </c>
      <c r="G205" s="40">
        <f>SUM(G203:G204)</f>
        <v>43.815111999999999</v>
      </c>
    </row>
    <row r="206" spans="2:7" x14ac:dyDescent="0.25">
      <c r="B206" s="358" t="s">
        <v>182</v>
      </c>
      <c r="C206" s="359"/>
      <c r="D206" s="216"/>
      <c r="E206" s="26"/>
      <c r="F206" s="36"/>
      <c r="G206" s="37"/>
    </row>
    <row r="207" spans="2:7" x14ac:dyDescent="0.25">
      <c r="B207" s="215" t="str">
        <f>'MAPA COTAÇÃO'!B27</f>
        <v>COT-3</v>
      </c>
      <c r="C207" s="55" t="str">
        <f>'MAPA COTAÇÃO'!B32</f>
        <v>PORCELANATO BIANCO TU 60X60CM POLIDO - PORTOBELLO</v>
      </c>
      <c r="D207" s="216" t="str">
        <f>'MAPA COTAÇÃO'!D32</f>
        <v>M²</v>
      </c>
      <c r="E207" s="41">
        <v>1.0900000000000001</v>
      </c>
      <c r="F207" s="42">
        <f>'MAPA COTAÇÃO'!J32</f>
        <v>184.24650349650352</v>
      </c>
      <c r="G207" s="37">
        <f>E207*F207</f>
        <v>200.82868881118884</v>
      </c>
    </row>
    <row r="208" spans="2:7" x14ac:dyDescent="0.25">
      <c r="B208" s="215">
        <v>1381</v>
      </c>
      <c r="C208" s="17" t="s">
        <v>199</v>
      </c>
      <c r="D208" s="216" t="s">
        <v>2</v>
      </c>
      <c r="E208" s="41">
        <v>6.14</v>
      </c>
      <c r="F208" s="42">
        <v>0.36</v>
      </c>
      <c r="G208" s="37">
        <f>E208*F208</f>
        <v>2.2103999999999999</v>
      </c>
    </row>
    <row r="209" spans="1:8" x14ac:dyDescent="0.25">
      <c r="B209" s="215">
        <v>34357</v>
      </c>
      <c r="C209" s="17" t="s">
        <v>198</v>
      </c>
      <c r="D209" s="216" t="s">
        <v>2</v>
      </c>
      <c r="E209" s="41">
        <v>0.22</v>
      </c>
      <c r="F209" s="42">
        <v>2.29</v>
      </c>
      <c r="G209" s="37">
        <f>E209*F209</f>
        <v>0.50380000000000003</v>
      </c>
    </row>
    <row r="210" spans="1:8" x14ac:dyDescent="0.25">
      <c r="B210" s="215"/>
      <c r="C210" s="25"/>
      <c r="D210" s="25"/>
      <c r="E210" s="26"/>
      <c r="F210" s="27" t="s">
        <v>179</v>
      </c>
      <c r="G210" s="40">
        <f>SUM(G207:G209)</f>
        <v>203.54288881118885</v>
      </c>
    </row>
    <row r="211" spans="1:8" ht="15.75" thickBot="1" x14ac:dyDescent="0.3">
      <c r="B211" s="215"/>
      <c r="C211" s="17" t="s">
        <v>682</v>
      </c>
      <c r="D211" s="25"/>
      <c r="E211" s="26"/>
      <c r="F211" s="16"/>
      <c r="G211" s="43"/>
    </row>
    <row r="212" spans="1:8" ht="15.75" thickBot="1" x14ac:dyDescent="0.3">
      <c r="B212" s="44" t="s">
        <v>240</v>
      </c>
      <c r="C212" s="45" t="s">
        <v>881</v>
      </c>
      <c r="D212" s="46"/>
      <c r="E212" s="47"/>
      <c r="F212" s="16" t="s">
        <v>178</v>
      </c>
      <c r="G212" s="113">
        <f>G205+G210</f>
        <v>247.35800081118884</v>
      </c>
    </row>
    <row r="213" spans="1:8" x14ac:dyDescent="0.25">
      <c r="B213" s="23" t="s">
        <v>63</v>
      </c>
      <c r="C213" s="22" t="s">
        <v>45</v>
      </c>
      <c r="D213" s="21"/>
      <c r="E213" s="21"/>
      <c r="F213" s="21"/>
      <c r="G213" s="21"/>
    </row>
    <row r="214" spans="1:8" ht="15.75" thickBot="1" x14ac:dyDescent="0.3">
      <c r="B214" s="23" t="s">
        <v>130</v>
      </c>
      <c r="C214" s="22" t="s">
        <v>53</v>
      </c>
      <c r="D214" s="21"/>
      <c r="E214" s="21"/>
      <c r="F214" s="21"/>
      <c r="G214" s="21"/>
    </row>
    <row r="215" spans="1:8" x14ac:dyDescent="0.25">
      <c r="B215" s="30" t="s">
        <v>248</v>
      </c>
      <c r="C215" s="51" t="s">
        <v>1229</v>
      </c>
      <c r="D215" s="32"/>
      <c r="E215" s="69" t="s">
        <v>193</v>
      </c>
      <c r="F215" s="33" t="s">
        <v>192</v>
      </c>
      <c r="G215" s="34" t="s">
        <v>203</v>
      </c>
    </row>
    <row r="216" spans="1:8" x14ac:dyDescent="0.25">
      <c r="B216" s="35" t="s">
        <v>0</v>
      </c>
      <c r="C216" s="20" t="s">
        <v>1</v>
      </c>
      <c r="D216" s="20" t="s">
        <v>190</v>
      </c>
      <c r="E216" s="59" t="s">
        <v>189</v>
      </c>
      <c r="F216" s="18" t="s">
        <v>188</v>
      </c>
      <c r="G216" s="64" t="s">
        <v>187</v>
      </c>
    </row>
    <row r="217" spans="1:8" x14ac:dyDescent="0.25">
      <c r="B217" s="358" t="s">
        <v>186</v>
      </c>
      <c r="C217" s="359"/>
      <c r="D217" s="216"/>
      <c r="E217" s="26"/>
      <c r="F217" s="36"/>
      <c r="G217" s="37"/>
    </row>
    <row r="218" spans="1:8" x14ac:dyDescent="0.25">
      <c r="B218" s="215" t="str">
        <f>'MAPA COTAÇÃO'!B50</f>
        <v>COT-8</v>
      </c>
      <c r="C218" s="55" t="s">
        <v>890</v>
      </c>
      <c r="D218" s="216" t="str">
        <f>'MAPA COTAÇÃO'!D55</f>
        <v>M²</v>
      </c>
      <c r="E218" s="26">
        <v>1</v>
      </c>
      <c r="F218" s="42">
        <f>'MAPA COTAÇÃO'!J55*0.6</f>
        <v>121.34300595238096</v>
      </c>
      <c r="G218" s="37">
        <f>E218*F218</f>
        <v>121.34300595238096</v>
      </c>
      <c r="H218" s="183">
        <v>0.6</v>
      </c>
    </row>
    <row r="219" spans="1:8" x14ac:dyDescent="0.25">
      <c r="B219" s="215"/>
      <c r="C219" s="25"/>
      <c r="D219" s="25"/>
      <c r="E219" s="53"/>
      <c r="F219" s="39" t="s">
        <v>183</v>
      </c>
      <c r="G219" s="40">
        <f>SUM(G218:G218)</f>
        <v>121.34300595238096</v>
      </c>
    </row>
    <row r="220" spans="1:8" x14ac:dyDescent="0.25">
      <c r="B220" s="358" t="s">
        <v>182</v>
      </c>
      <c r="C220" s="359"/>
      <c r="D220" s="216"/>
      <c r="E220" s="26"/>
      <c r="F220" s="36"/>
      <c r="G220" s="37"/>
    </row>
    <row r="221" spans="1:8" x14ac:dyDescent="0.25">
      <c r="A221" s="240"/>
      <c r="B221" s="215" t="str">
        <f>'MAPA COTAÇÃO'!B50</f>
        <v>COT-8</v>
      </c>
      <c r="C221" s="55" t="str">
        <f>'MAPA COTAÇÃO'!B55</f>
        <v xml:space="preserve">PERSIANA  HORIZONTAL LÂMINA DE ALUMINIO 16MM </v>
      </c>
      <c r="D221" s="216" t="str">
        <f>'MAPA COTAÇÃO'!D55</f>
        <v>M²</v>
      </c>
      <c r="E221" s="41">
        <v>1</v>
      </c>
      <c r="F221" s="42">
        <f>'MAPA COTAÇÃO'!J55*0.4</f>
        <v>80.895337301587318</v>
      </c>
      <c r="G221" s="37">
        <f>E221*F221</f>
        <v>80.895337301587318</v>
      </c>
      <c r="H221" s="184" t="s">
        <v>780</v>
      </c>
    </row>
    <row r="222" spans="1:8" x14ac:dyDescent="0.25">
      <c r="B222" s="215"/>
      <c r="C222" s="25"/>
      <c r="D222" s="25"/>
      <c r="E222" s="26"/>
      <c r="F222" s="27" t="s">
        <v>179</v>
      </c>
      <c r="G222" s="40">
        <f>SUM(G221:G221)</f>
        <v>80.895337301587318</v>
      </c>
    </row>
    <row r="223" spans="1:8" ht="15.75" thickBot="1" x14ac:dyDescent="0.3">
      <c r="B223" s="215"/>
      <c r="C223" s="17" t="s">
        <v>682</v>
      </c>
      <c r="D223" s="25"/>
      <c r="E223" s="26"/>
      <c r="F223" s="16"/>
      <c r="G223" s="43"/>
    </row>
    <row r="224" spans="1:8" ht="15.75" thickBot="1" x14ac:dyDescent="0.3">
      <c r="B224" s="44" t="s">
        <v>240</v>
      </c>
      <c r="C224" s="45" t="s">
        <v>246</v>
      </c>
      <c r="D224" s="46"/>
      <c r="E224" s="47"/>
      <c r="F224" s="16" t="s">
        <v>178</v>
      </c>
      <c r="G224" s="113">
        <f>G219+G222</f>
        <v>202.23834325396828</v>
      </c>
      <c r="H224" s="181"/>
    </row>
    <row r="225" spans="1:8" x14ac:dyDescent="0.25">
      <c r="B225" s="30" t="s">
        <v>409</v>
      </c>
      <c r="C225" s="51" t="s">
        <v>891</v>
      </c>
      <c r="D225" s="32"/>
      <c r="E225" s="69" t="s">
        <v>193</v>
      </c>
      <c r="F225" s="33" t="s">
        <v>192</v>
      </c>
      <c r="G225" s="34" t="s">
        <v>203</v>
      </c>
    </row>
    <row r="226" spans="1:8" x14ac:dyDescent="0.25">
      <c r="B226" s="35" t="s">
        <v>0</v>
      </c>
      <c r="C226" s="20" t="s">
        <v>1</v>
      </c>
      <c r="D226" s="20" t="s">
        <v>190</v>
      </c>
      <c r="E226" s="59" t="s">
        <v>189</v>
      </c>
      <c r="F226" s="18" t="s">
        <v>188</v>
      </c>
      <c r="G226" s="64" t="s">
        <v>187</v>
      </c>
    </row>
    <row r="227" spans="1:8" x14ac:dyDescent="0.25">
      <c r="B227" s="358" t="s">
        <v>186</v>
      </c>
      <c r="C227" s="359"/>
      <c r="D227" s="216"/>
      <c r="E227" s="26"/>
      <c r="F227" s="36"/>
      <c r="G227" s="37"/>
    </row>
    <row r="228" spans="1:8" x14ac:dyDescent="0.25">
      <c r="B228" s="217" t="str">
        <f>'MAPA COTAÇÃO'!B51</f>
        <v>COT-9</v>
      </c>
      <c r="C228" s="55" t="s">
        <v>893</v>
      </c>
      <c r="D228" s="216" t="str">
        <f>'MAPA COTAÇÃO'!D56</f>
        <v>M²</v>
      </c>
      <c r="E228" s="26">
        <v>1</v>
      </c>
      <c r="F228" s="42">
        <f>'MAPA COTAÇÃO'!J56*0.6</f>
        <v>204.48820805907386</v>
      </c>
      <c r="G228" s="37">
        <f>E228*F228</f>
        <v>204.48820805907386</v>
      </c>
      <c r="H228" s="183">
        <v>0.6</v>
      </c>
    </row>
    <row r="229" spans="1:8" x14ac:dyDescent="0.25">
      <c r="B229" s="217"/>
      <c r="C229" s="66"/>
      <c r="D229" s="25"/>
      <c r="E229" s="53"/>
      <c r="F229" s="173" t="s">
        <v>183</v>
      </c>
      <c r="G229" s="40">
        <f>SUM(G228:G228)</f>
        <v>204.48820805907386</v>
      </c>
      <c r="H229" s="181"/>
    </row>
    <row r="230" spans="1:8" x14ac:dyDescent="0.25">
      <c r="B230" s="360" t="s">
        <v>182</v>
      </c>
      <c r="C230" s="361"/>
      <c r="D230" s="216"/>
      <c r="E230" s="26"/>
      <c r="F230" s="174"/>
      <c r="G230" s="37"/>
      <c r="H230" s="181"/>
    </row>
    <row r="231" spans="1:8" ht="22.5" x14ac:dyDescent="0.25">
      <c r="A231" s="240"/>
      <c r="B231" s="217" t="str">
        <f>'MAPA COTAÇÃO'!B51</f>
        <v>COT-9</v>
      </c>
      <c r="C231" s="55" t="str">
        <f>'MAPA COTAÇÃO'!B56</f>
        <v>PAINEL CEGO DE DIVISÓRIA ACUSTICA COM MIOLO ACUSTICO EM LA DE ROCHA 40KG/M³</v>
      </c>
      <c r="D231" s="216" t="str">
        <f>'MAPA COTAÇÃO'!D56</f>
        <v>M²</v>
      </c>
      <c r="E231" s="41">
        <v>1</v>
      </c>
      <c r="F231" s="42">
        <f>'MAPA COTAÇÃO'!J56*0.4</f>
        <v>136.32547203938256</v>
      </c>
      <c r="G231" s="37">
        <f>E231*F231</f>
        <v>136.32547203938256</v>
      </c>
      <c r="H231" s="183">
        <v>0.4</v>
      </c>
    </row>
    <row r="232" spans="1:8" x14ac:dyDescent="0.25">
      <c r="B232" s="215"/>
      <c r="C232" s="25"/>
      <c r="D232" s="25"/>
      <c r="E232" s="26"/>
      <c r="F232" s="27" t="s">
        <v>179</v>
      </c>
      <c r="G232" s="40">
        <f>SUM(G231:G231)</f>
        <v>136.32547203938256</v>
      </c>
    </row>
    <row r="233" spans="1:8" ht="15.75" thickBot="1" x14ac:dyDescent="0.3">
      <c r="B233" s="215"/>
      <c r="C233" s="17" t="s">
        <v>682</v>
      </c>
      <c r="D233" s="25"/>
      <c r="E233" s="26"/>
      <c r="F233" s="16"/>
      <c r="G233" s="43"/>
    </row>
    <row r="234" spans="1:8" ht="15.75" thickBot="1" x14ac:dyDescent="0.3">
      <c r="B234" s="44" t="s">
        <v>240</v>
      </c>
      <c r="C234" s="45" t="s">
        <v>246</v>
      </c>
      <c r="D234" s="46"/>
      <c r="E234" s="47"/>
      <c r="F234" s="16" t="s">
        <v>178</v>
      </c>
      <c r="G234" s="113">
        <f>G229+G232</f>
        <v>340.81368009845642</v>
      </c>
      <c r="H234" s="181"/>
    </row>
    <row r="235" spans="1:8" x14ac:dyDescent="0.25">
      <c r="B235" s="30" t="s">
        <v>410</v>
      </c>
      <c r="C235" s="51" t="s">
        <v>869</v>
      </c>
      <c r="D235" s="32"/>
      <c r="E235" s="69" t="s">
        <v>767</v>
      </c>
      <c r="F235" s="33" t="s">
        <v>192</v>
      </c>
      <c r="G235" s="34" t="s">
        <v>203</v>
      </c>
    </row>
    <row r="236" spans="1:8" x14ac:dyDescent="0.25">
      <c r="B236" s="35" t="s">
        <v>0</v>
      </c>
      <c r="C236" s="20" t="s">
        <v>1</v>
      </c>
      <c r="D236" s="20" t="s">
        <v>190</v>
      </c>
      <c r="E236" s="59" t="s">
        <v>189</v>
      </c>
      <c r="F236" s="18" t="s">
        <v>188</v>
      </c>
      <c r="G236" s="64" t="s">
        <v>187</v>
      </c>
    </row>
    <row r="237" spans="1:8" x14ac:dyDescent="0.25">
      <c r="B237" s="358" t="s">
        <v>186</v>
      </c>
      <c r="C237" s="359"/>
      <c r="D237" s="216"/>
      <c r="E237" s="26"/>
      <c r="F237" s="36"/>
      <c r="G237" s="37"/>
    </row>
    <row r="238" spans="1:8" x14ac:dyDescent="0.25">
      <c r="B238" s="215">
        <v>10496</v>
      </c>
      <c r="C238" s="55" t="s">
        <v>782</v>
      </c>
      <c r="D238" s="216" t="s">
        <v>203</v>
      </c>
      <c r="E238" s="26">
        <v>1</v>
      </c>
      <c r="F238" s="42">
        <f>266.66*0.6</f>
        <v>159.99600000000001</v>
      </c>
      <c r="G238" s="37">
        <f>E238*F238</f>
        <v>159.99600000000001</v>
      </c>
      <c r="H238" s="183">
        <v>0.6</v>
      </c>
    </row>
    <row r="239" spans="1:8" x14ac:dyDescent="0.25">
      <c r="B239" s="215"/>
      <c r="C239" s="25"/>
      <c r="D239" s="25"/>
      <c r="E239" s="53"/>
      <c r="F239" s="39" t="s">
        <v>183</v>
      </c>
      <c r="G239" s="40">
        <f>SUM(G238:G238)</f>
        <v>159.99600000000001</v>
      </c>
    </row>
    <row r="240" spans="1:8" x14ac:dyDescent="0.25">
      <c r="B240" s="358" t="s">
        <v>182</v>
      </c>
      <c r="C240" s="359"/>
      <c r="D240" s="216"/>
      <c r="E240" s="26"/>
      <c r="F240" s="36"/>
      <c r="G240" s="37"/>
    </row>
    <row r="241" spans="1:8" ht="22.5" x14ac:dyDescent="0.25">
      <c r="B241" s="215">
        <v>10496</v>
      </c>
      <c r="C241" s="55" t="s">
        <v>781</v>
      </c>
      <c r="D241" s="216" t="s">
        <v>203</v>
      </c>
      <c r="E241" s="41">
        <v>1</v>
      </c>
      <c r="F241" s="42">
        <f>266.66*0.4</f>
        <v>106.66400000000002</v>
      </c>
      <c r="G241" s="37">
        <f>E241*F241</f>
        <v>106.66400000000002</v>
      </c>
      <c r="H241" s="183">
        <v>0.4</v>
      </c>
    </row>
    <row r="242" spans="1:8" x14ac:dyDescent="0.25">
      <c r="B242" s="215"/>
      <c r="C242" s="25"/>
      <c r="D242" s="25"/>
      <c r="E242" s="26"/>
      <c r="F242" s="27" t="s">
        <v>179</v>
      </c>
      <c r="G242" s="40">
        <f>SUM(G241:G241)</f>
        <v>106.66400000000002</v>
      </c>
    </row>
    <row r="243" spans="1:8" ht="15.75" thickBot="1" x14ac:dyDescent="0.3">
      <c r="B243" s="215"/>
      <c r="C243" s="17"/>
      <c r="D243" s="25"/>
      <c r="E243" s="26"/>
      <c r="F243" s="16"/>
      <c r="G243" s="43"/>
    </row>
    <row r="244" spans="1:8" ht="15.75" thickBot="1" x14ac:dyDescent="0.3">
      <c r="B244" s="44" t="s">
        <v>240</v>
      </c>
      <c r="C244" s="45" t="s">
        <v>768</v>
      </c>
      <c r="D244" s="46"/>
      <c r="E244" s="47"/>
      <c r="F244" s="16" t="s">
        <v>178</v>
      </c>
      <c r="G244" s="113">
        <f>G239+G242</f>
        <v>266.66000000000003</v>
      </c>
      <c r="H244" s="181"/>
    </row>
    <row r="245" spans="1:8" x14ac:dyDescent="0.25">
      <c r="B245" s="30" t="s">
        <v>946</v>
      </c>
      <c r="C245" s="51" t="s">
        <v>895</v>
      </c>
      <c r="D245" s="32"/>
      <c r="E245" s="69" t="s">
        <v>193</v>
      </c>
      <c r="F245" s="33" t="s">
        <v>192</v>
      </c>
      <c r="G245" s="34" t="s">
        <v>191</v>
      </c>
    </row>
    <row r="246" spans="1:8" x14ac:dyDescent="0.25">
      <c r="B246" s="35" t="s">
        <v>0</v>
      </c>
      <c r="C246" s="20" t="s">
        <v>1</v>
      </c>
      <c r="D246" s="20" t="s">
        <v>190</v>
      </c>
      <c r="E246" s="59" t="s">
        <v>189</v>
      </c>
      <c r="F246" s="18" t="s">
        <v>188</v>
      </c>
      <c r="G246" s="64" t="s">
        <v>187</v>
      </c>
    </row>
    <row r="247" spans="1:8" x14ac:dyDescent="0.25">
      <c r="B247" s="358" t="s">
        <v>186</v>
      </c>
      <c r="C247" s="359"/>
      <c r="D247" s="216"/>
      <c r="E247" s="26"/>
      <c r="F247" s="36"/>
      <c r="G247" s="37"/>
    </row>
    <row r="248" spans="1:8" x14ac:dyDescent="0.25">
      <c r="A248" s="240"/>
      <c r="B248" s="50" t="str">
        <f>'MAPA COTAÇÃO'!B53</f>
        <v>COT-11</v>
      </c>
      <c r="C248" s="17" t="str">
        <f>'MAPA COTAÇÃO'!B58</f>
        <v>MONTAGEM DE MÓDULO PORTA</v>
      </c>
      <c r="D248" s="216" t="str">
        <f>'MAPA COTAÇÃO'!D58</f>
        <v>UNID</v>
      </c>
      <c r="E248" s="26">
        <v>1</v>
      </c>
      <c r="F248" s="27">
        <f>'MAPA COTAÇÃO'!J58</f>
        <v>40.239992027886373</v>
      </c>
      <c r="G248" s="37">
        <f>E248*F248</f>
        <v>40.239992027886373</v>
      </c>
    </row>
    <row r="249" spans="1:8" x14ac:dyDescent="0.25">
      <c r="B249" s="215"/>
      <c r="C249" s="25"/>
      <c r="D249" s="25"/>
      <c r="E249" s="53"/>
      <c r="F249" s="39" t="s">
        <v>183</v>
      </c>
      <c r="G249" s="40">
        <f>SUM(G248:G248)</f>
        <v>40.239992027886373</v>
      </c>
    </row>
    <row r="250" spans="1:8" x14ac:dyDescent="0.25">
      <c r="B250" s="358" t="s">
        <v>182</v>
      </c>
      <c r="C250" s="359"/>
      <c r="D250" s="216"/>
      <c r="E250" s="26"/>
      <c r="F250" s="36"/>
      <c r="G250" s="37"/>
    </row>
    <row r="251" spans="1:8" x14ac:dyDescent="0.25">
      <c r="A251" s="240"/>
      <c r="B251" s="215" t="str">
        <f>'MAPA COTAÇÃO'!B52</f>
        <v>COT- 10</v>
      </c>
      <c r="C251" s="55" t="str">
        <f>'MAPA COTAÇÃO'!B57</f>
        <v>MÓDULO PORTA CEGA ACUSTICA</v>
      </c>
      <c r="D251" s="216" t="str">
        <f>'MAPA COTAÇÃO'!D57</f>
        <v>UNID</v>
      </c>
      <c r="E251" s="26">
        <v>1</v>
      </c>
      <c r="F251" s="42">
        <f>'MAPA COTAÇÃO'!J57-G249</f>
        <v>930.21252079483691</v>
      </c>
      <c r="G251" s="37">
        <f>E251*F251</f>
        <v>930.21252079483691</v>
      </c>
    </row>
    <row r="252" spans="1:8" x14ac:dyDescent="0.25">
      <c r="B252" s="215"/>
      <c r="C252" s="25"/>
      <c r="D252" s="25"/>
      <c r="E252" s="26"/>
      <c r="F252" s="27" t="s">
        <v>179</v>
      </c>
      <c r="G252" s="40">
        <f>SUM(G251:G251)</f>
        <v>930.21252079483691</v>
      </c>
    </row>
    <row r="253" spans="1:8" ht="15.75" thickBot="1" x14ac:dyDescent="0.3">
      <c r="B253" s="215"/>
      <c r="C253" s="17" t="s">
        <v>682</v>
      </c>
      <c r="D253" s="25"/>
      <c r="E253" s="26"/>
      <c r="F253" s="16"/>
      <c r="G253" s="43"/>
    </row>
    <row r="254" spans="1:8" ht="15.75" thickBot="1" x14ac:dyDescent="0.3">
      <c r="B254" s="44" t="s">
        <v>240</v>
      </c>
      <c r="C254" s="45" t="s">
        <v>246</v>
      </c>
      <c r="D254" s="46"/>
      <c r="E254" s="47"/>
      <c r="F254" s="16" t="s">
        <v>178</v>
      </c>
      <c r="G254" s="113">
        <f>G249+G252</f>
        <v>970.45251282272329</v>
      </c>
    </row>
    <row r="255" spans="1:8" ht="15.75" thickBot="1" x14ac:dyDescent="0.3">
      <c r="B255" s="23" t="s">
        <v>249</v>
      </c>
      <c r="C255" s="22" t="s">
        <v>294</v>
      </c>
      <c r="D255" s="21"/>
      <c r="E255" s="21"/>
      <c r="F255" s="21"/>
      <c r="G255" s="21"/>
      <c r="H255" s="181"/>
    </row>
    <row r="256" spans="1:8" x14ac:dyDescent="0.25">
      <c r="B256" s="30" t="s">
        <v>250</v>
      </c>
      <c r="C256" s="51" t="s">
        <v>966</v>
      </c>
      <c r="D256" s="32"/>
      <c r="E256" s="69" t="s">
        <v>193</v>
      </c>
      <c r="F256" s="33" t="s">
        <v>192</v>
      </c>
      <c r="G256" s="34" t="s">
        <v>203</v>
      </c>
      <c r="H256" s="181"/>
    </row>
    <row r="257" spans="1:8" x14ac:dyDescent="0.25">
      <c r="B257" s="35" t="s">
        <v>0</v>
      </c>
      <c r="C257" s="20" t="s">
        <v>1</v>
      </c>
      <c r="D257" s="20" t="s">
        <v>190</v>
      </c>
      <c r="E257" s="59" t="s">
        <v>189</v>
      </c>
      <c r="F257" s="18" t="s">
        <v>188</v>
      </c>
      <c r="G257" s="64" t="s">
        <v>187</v>
      </c>
      <c r="H257" s="181"/>
    </row>
    <row r="258" spans="1:8" x14ac:dyDescent="0.25">
      <c r="B258" s="358" t="s">
        <v>186</v>
      </c>
      <c r="C258" s="359"/>
      <c r="D258" s="216"/>
      <c r="E258" s="26"/>
      <c r="F258" s="36"/>
      <c r="G258" s="37"/>
    </row>
    <row r="259" spans="1:8" x14ac:dyDescent="0.25">
      <c r="B259" s="215" t="str">
        <f>'MAPA COTAÇÃO'!B60</f>
        <v>COT-12</v>
      </c>
      <c r="C259" s="55" t="s">
        <v>894</v>
      </c>
      <c r="D259" s="216" t="str">
        <f>'MAPA COTAÇÃO'!D66</f>
        <v>M²</v>
      </c>
      <c r="E259" s="26">
        <v>1</v>
      </c>
      <c r="F259" s="42">
        <f>'MAPA COTAÇÃO'!J66*0.4</f>
        <v>170.37037037037038</v>
      </c>
      <c r="G259" s="37">
        <f>E259*F259</f>
        <v>170.37037037037038</v>
      </c>
      <c r="H259" s="185"/>
    </row>
    <row r="260" spans="1:8" x14ac:dyDescent="0.25">
      <c r="B260" s="215"/>
      <c r="C260" s="25"/>
      <c r="D260" s="25"/>
      <c r="E260" s="53"/>
      <c r="F260" s="39" t="s">
        <v>183</v>
      </c>
      <c r="G260" s="40">
        <f>SUM(G259:G259)</f>
        <v>170.37037037037038</v>
      </c>
      <c r="H260" s="186"/>
    </row>
    <row r="261" spans="1:8" x14ac:dyDescent="0.25">
      <c r="B261" s="358" t="s">
        <v>182</v>
      </c>
      <c r="C261" s="359"/>
      <c r="D261" s="216"/>
      <c r="E261" s="26"/>
      <c r="F261" s="36"/>
      <c r="G261" s="37"/>
      <c r="H261" s="186"/>
    </row>
    <row r="262" spans="1:8" x14ac:dyDescent="0.25">
      <c r="A262" s="240"/>
      <c r="B262" s="215" t="str">
        <f>'MAPA COTAÇÃO'!B60</f>
        <v>COT-12</v>
      </c>
      <c r="C262" s="55" t="str">
        <f>'MAPA COTAÇÃO'!B66</f>
        <v xml:space="preserve">PERSIANA TIPO ROLO COM BLACKOUT MODELO MOROCCO LUXAFLEX </v>
      </c>
      <c r="D262" s="216" t="str">
        <f>'MAPA COTAÇÃO'!D66</f>
        <v>M²</v>
      </c>
      <c r="E262" s="41">
        <v>1</v>
      </c>
      <c r="F262" s="42">
        <f>'MAPA COTAÇÃO'!J66*0.6</f>
        <v>255.55555555555554</v>
      </c>
      <c r="G262" s="37">
        <f>E262*F262</f>
        <v>255.55555555555554</v>
      </c>
      <c r="H262" s="185"/>
    </row>
    <row r="263" spans="1:8" x14ac:dyDescent="0.25">
      <c r="B263" s="215"/>
      <c r="C263" s="17"/>
      <c r="D263" s="25"/>
      <c r="E263" s="26"/>
      <c r="F263" s="27" t="s">
        <v>179</v>
      </c>
      <c r="G263" s="40">
        <f>SUM(G262:G262)</f>
        <v>255.55555555555554</v>
      </c>
    </row>
    <row r="264" spans="1:8" ht="15.75" thickBot="1" x14ac:dyDescent="0.3">
      <c r="B264" s="215"/>
      <c r="C264" s="17" t="s">
        <v>682</v>
      </c>
      <c r="D264" s="25"/>
      <c r="E264" s="26"/>
      <c r="F264" s="16"/>
      <c r="G264" s="43"/>
    </row>
    <row r="265" spans="1:8" ht="15.75" thickBot="1" x14ac:dyDescent="0.3">
      <c r="B265" s="44" t="s">
        <v>240</v>
      </c>
      <c r="C265" s="45" t="s">
        <v>246</v>
      </c>
      <c r="D265" s="46"/>
      <c r="E265" s="47"/>
      <c r="F265" s="16" t="s">
        <v>178</v>
      </c>
      <c r="G265" s="113">
        <f>G260+G263</f>
        <v>425.92592592592592</v>
      </c>
    </row>
    <row r="266" spans="1:8" x14ac:dyDescent="0.25">
      <c r="B266" s="23" t="s">
        <v>18</v>
      </c>
      <c r="C266" s="22" t="s">
        <v>291</v>
      </c>
      <c r="D266" s="21"/>
      <c r="E266" s="21"/>
      <c r="F266" s="21"/>
      <c r="G266" s="21"/>
    </row>
    <row r="267" spans="1:8" x14ac:dyDescent="0.25">
      <c r="B267" s="23" t="s">
        <v>36</v>
      </c>
      <c r="C267" s="22" t="s">
        <v>54</v>
      </c>
      <c r="D267" s="21"/>
      <c r="E267" s="21"/>
      <c r="F267" s="21"/>
      <c r="G267" s="21"/>
    </row>
    <row r="268" spans="1:8" ht="15.75" thickBot="1" x14ac:dyDescent="0.3">
      <c r="B268" s="23" t="s">
        <v>59</v>
      </c>
      <c r="C268" s="22" t="s">
        <v>12</v>
      </c>
      <c r="D268" s="21"/>
      <c r="E268" s="21"/>
      <c r="F268" s="21"/>
      <c r="G268" s="21"/>
    </row>
    <row r="269" spans="1:8" x14ac:dyDescent="0.25">
      <c r="B269" s="30" t="s">
        <v>133</v>
      </c>
      <c r="C269" s="51" t="s">
        <v>413</v>
      </c>
      <c r="D269" s="32"/>
      <c r="E269" s="69" t="s">
        <v>412</v>
      </c>
      <c r="F269" s="33" t="s">
        <v>192</v>
      </c>
      <c r="G269" s="34" t="s">
        <v>203</v>
      </c>
    </row>
    <row r="270" spans="1:8" x14ac:dyDescent="0.25">
      <c r="B270" s="35" t="s">
        <v>0</v>
      </c>
      <c r="C270" s="20" t="s">
        <v>1</v>
      </c>
      <c r="D270" s="20" t="s">
        <v>190</v>
      </c>
      <c r="E270" s="59" t="s">
        <v>189</v>
      </c>
      <c r="F270" s="18" t="s">
        <v>188</v>
      </c>
      <c r="G270" s="64" t="s">
        <v>187</v>
      </c>
    </row>
    <row r="271" spans="1:8" x14ac:dyDescent="0.25">
      <c r="B271" s="358" t="s">
        <v>186</v>
      </c>
      <c r="C271" s="359"/>
      <c r="D271" s="216"/>
      <c r="E271" s="26"/>
      <c r="F271" s="36"/>
      <c r="G271" s="37"/>
    </row>
    <row r="272" spans="1:8" x14ac:dyDescent="0.25">
      <c r="B272" s="50">
        <v>88309</v>
      </c>
      <c r="C272" s="17" t="s">
        <v>215</v>
      </c>
      <c r="D272" s="216" t="s">
        <v>184</v>
      </c>
      <c r="E272" s="71">
        <v>0.38400000000000001</v>
      </c>
      <c r="F272" s="27">
        <v>21.74</v>
      </c>
      <c r="G272" s="37">
        <f>E272*F272</f>
        <v>8.34816</v>
      </c>
    </row>
    <row r="273" spans="2:7" x14ac:dyDescent="0.25">
      <c r="B273" s="50">
        <v>88316</v>
      </c>
      <c r="C273" s="17" t="s">
        <v>201</v>
      </c>
      <c r="D273" s="216" t="s">
        <v>184</v>
      </c>
      <c r="E273" s="71">
        <v>3.8399999999999997E-2</v>
      </c>
      <c r="F273" s="27">
        <v>16.21</v>
      </c>
      <c r="G273" s="37">
        <f>E273*F273</f>
        <v>0.62246400000000002</v>
      </c>
    </row>
    <row r="274" spans="2:7" x14ac:dyDescent="0.25">
      <c r="B274" s="215"/>
      <c r="C274" s="25"/>
      <c r="D274" s="25"/>
      <c r="E274" s="53"/>
      <c r="F274" s="39" t="s">
        <v>183</v>
      </c>
      <c r="G274" s="40">
        <f>SUM(G272:G273)</f>
        <v>8.9706240000000008</v>
      </c>
    </row>
    <row r="275" spans="2:7" x14ac:dyDescent="0.25">
      <c r="B275" s="358" t="s">
        <v>182</v>
      </c>
      <c r="C275" s="359"/>
      <c r="D275" s="216"/>
      <c r="E275" s="26"/>
      <c r="F275" s="36"/>
      <c r="G275" s="37"/>
    </row>
    <row r="276" spans="2:7" ht="22.5" x14ac:dyDescent="0.25">
      <c r="B276" s="50">
        <v>87402</v>
      </c>
      <c r="C276" s="17" t="s">
        <v>414</v>
      </c>
      <c r="D276" s="216" t="s">
        <v>253</v>
      </c>
      <c r="E276" s="67">
        <v>3.2000000000000002E-3</v>
      </c>
      <c r="F276" s="42">
        <v>2725.51</v>
      </c>
      <c r="G276" s="37">
        <f>E276*F276</f>
        <v>8.7216320000000014</v>
      </c>
    </row>
    <row r="277" spans="2:7" x14ac:dyDescent="0.25">
      <c r="B277" s="215"/>
      <c r="C277" s="25"/>
      <c r="D277" s="25"/>
      <c r="E277" s="26"/>
      <c r="F277" s="27" t="s">
        <v>179</v>
      </c>
      <c r="G277" s="40">
        <f>SUM(G276:G276)</f>
        <v>8.7216320000000014</v>
      </c>
    </row>
    <row r="278" spans="2:7" ht="15.75" thickBot="1" x14ac:dyDescent="0.3">
      <c r="B278" s="215"/>
      <c r="C278" s="17"/>
      <c r="D278" s="25"/>
      <c r="E278" s="26"/>
      <c r="F278" s="16"/>
      <c r="G278" s="43"/>
    </row>
    <row r="279" spans="2:7" ht="15.75" thickBot="1" x14ac:dyDescent="0.3">
      <c r="B279" s="44" t="s">
        <v>240</v>
      </c>
      <c r="C279" s="45" t="s">
        <v>412</v>
      </c>
      <c r="D279" s="46"/>
      <c r="E279" s="47"/>
      <c r="F279" s="16" t="s">
        <v>178</v>
      </c>
      <c r="G279" s="113">
        <f>G274+G277</f>
        <v>17.692256</v>
      </c>
    </row>
    <row r="280" spans="2:7" ht="15.75" thickBot="1" x14ac:dyDescent="0.3">
      <c r="B280" s="23" t="s">
        <v>60</v>
      </c>
      <c r="C280" s="22" t="s">
        <v>13</v>
      </c>
      <c r="D280" s="21"/>
      <c r="E280" s="21"/>
      <c r="F280" s="21"/>
      <c r="G280" s="21"/>
    </row>
    <row r="281" spans="2:7" x14ac:dyDescent="0.25">
      <c r="B281" s="30" t="s">
        <v>131</v>
      </c>
      <c r="C281" s="51" t="s">
        <v>427</v>
      </c>
      <c r="D281" s="32"/>
      <c r="E281" s="69" t="s">
        <v>401</v>
      </c>
      <c r="F281" s="33" t="s">
        <v>192</v>
      </c>
      <c r="G281" s="34" t="s">
        <v>203</v>
      </c>
    </row>
    <row r="282" spans="2:7" x14ac:dyDescent="0.25">
      <c r="B282" s="35" t="s">
        <v>0</v>
      </c>
      <c r="C282" s="20" t="s">
        <v>1</v>
      </c>
      <c r="D282" s="20" t="s">
        <v>190</v>
      </c>
      <c r="E282" s="59" t="s">
        <v>189</v>
      </c>
      <c r="F282" s="18" t="s">
        <v>188</v>
      </c>
      <c r="G282" s="64" t="s">
        <v>187</v>
      </c>
    </row>
    <row r="283" spans="2:7" x14ac:dyDescent="0.25">
      <c r="B283" s="358" t="s">
        <v>186</v>
      </c>
      <c r="C283" s="359"/>
      <c r="D283" s="216"/>
      <c r="E283" s="26"/>
      <c r="F283" s="36"/>
      <c r="G283" s="37"/>
    </row>
    <row r="284" spans="2:7" x14ac:dyDescent="0.25">
      <c r="B284" s="50">
        <v>88309</v>
      </c>
      <c r="C284" s="17" t="s">
        <v>215</v>
      </c>
      <c r="D284" s="216" t="s">
        <v>184</v>
      </c>
      <c r="E284" s="71">
        <v>0.43</v>
      </c>
      <c r="F284" s="27">
        <v>21.74</v>
      </c>
      <c r="G284" s="37">
        <f>E284*F284</f>
        <v>9.3481999999999985</v>
      </c>
    </row>
    <row r="285" spans="2:7" x14ac:dyDescent="0.25">
      <c r="B285" s="50">
        <v>88316</v>
      </c>
      <c r="C285" s="17" t="s">
        <v>201</v>
      </c>
      <c r="D285" s="216" t="s">
        <v>184</v>
      </c>
      <c r="E285" s="71">
        <v>5.2999999999999999E-2</v>
      </c>
      <c r="F285" s="27">
        <v>16.21</v>
      </c>
      <c r="G285" s="37">
        <f>E285*F285</f>
        <v>0.85913000000000006</v>
      </c>
    </row>
    <row r="286" spans="2:7" x14ac:dyDescent="0.25">
      <c r="B286" s="215"/>
      <c r="C286" s="25"/>
      <c r="D286" s="25"/>
      <c r="E286" s="53"/>
      <c r="F286" s="39" t="s">
        <v>183</v>
      </c>
      <c r="G286" s="40">
        <f>SUM(G284:G285)</f>
        <v>10.207329999999999</v>
      </c>
    </row>
    <row r="287" spans="2:7" x14ac:dyDescent="0.25">
      <c r="B287" s="358" t="s">
        <v>182</v>
      </c>
      <c r="C287" s="359"/>
      <c r="D287" s="216"/>
      <c r="E287" s="26"/>
      <c r="F287" s="36"/>
      <c r="G287" s="37"/>
    </row>
    <row r="288" spans="2:7" ht="22.5" x14ac:dyDescent="0.25">
      <c r="B288" s="50">
        <v>87407</v>
      </c>
      <c r="C288" s="17" t="s">
        <v>403</v>
      </c>
      <c r="D288" s="216" t="s">
        <v>253</v>
      </c>
      <c r="E288" s="67">
        <v>3.7600000000000001E-2</v>
      </c>
      <c r="F288" s="42">
        <v>691.9</v>
      </c>
      <c r="G288" s="37">
        <f>E288*F288</f>
        <v>26.015440000000002</v>
      </c>
    </row>
    <row r="289" spans="1:8" x14ac:dyDescent="0.25">
      <c r="B289" s="215"/>
      <c r="C289" s="25"/>
      <c r="D289" s="25"/>
      <c r="E289" s="26"/>
      <c r="F289" s="27" t="s">
        <v>179</v>
      </c>
      <c r="G289" s="40">
        <f>SUM(G288:G288)</f>
        <v>26.015440000000002</v>
      </c>
    </row>
    <row r="290" spans="1:8" ht="15.75" thickBot="1" x14ac:dyDescent="0.3">
      <c r="B290" s="215"/>
      <c r="C290" s="17"/>
      <c r="D290" s="25"/>
      <c r="E290" s="26"/>
      <c r="F290" s="16"/>
      <c r="G290" s="43"/>
    </row>
    <row r="291" spans="1:8" ht="15.75" thickBot="1" x14ac:dyDescent="0.3">
      <c r="B291" s="44" t="s">
        <v>240</v>
      </c>
      <c r="C291" s="45" t="s">
        <v>401</v>
      </c>
      <c r="D291" s="46"/>
      <c r="E291" s="47"/>
      <c r="F291" s="16" t="s">
        <v>178</v>
      </c>
      <c r="G291" s="113">
        <f>G286+G289</f>
        <v>36.222769999999997</v>
      </c>
    </row>
    <row r="292" spans="1:8" ht="15.75" thickBot="1" x14ac:dyDescent="0.3">
      <c r="B292" s="23" t="s">
        <v>37</v>
      </c>
      <c r="C292" s="22" t="s">
        <v>295</v>
      </c>
      <c r="D292" s="21"/>
      <c r="E292" s="21"/>
      <c r="F292" s="21"/>
      <c r="G292" s="21"/>
    </row>
    <row r="293" spans="1:8" x14ac:dyDescent="0.25">
      <c r="B293" s="30" t="s">
        <v>132</v>
      </c>
      <c r="C293" s="51" t="s">
        <v>1175</v>
      </c>
      <c r="D293" s="32"/>
      <c r="E293" s="69" t="s">
        <v>901</v>
      </c>
      <c r="F293" s="33" t="s">
        <v>192</v>
      </c>
      <c r="G293" s="34" t="s">
        <v>225</v>
      </c>
    </row>
    <row r="294" spans="1:8" x14ac:dyDescent="0.25">
      <c r="B294" s="35" t="s">
        <v>0</v>
      </c>
      <c r="C294" s="20" t="s">
        <v>1</v>
      </c>
      <c r="D294" s="20" t="s">
        <v>190</v>
      </c>
      <c r="E294" s="59" t="s">
        <v>189</v>
      </c>
      <c r="F294" s="18" t="s">
        <v>188</v>
      </c>
      <c r="G294" s="64" t="s">
        <v>187</v>
      </c>
    </row>
    <row r="295" spans="1:8" x14ac:dyDescent="0.25">
      <c r="B295" s="358" t="s">
        <v>186</v>
      </c>
      <c r="C295" s="359"/>
      <c r="D295" s="216"/>
      <c r="E295" s="26"/>
      <c r="F295" s="36"/>
      <c r="G295" s="37"/>
    </row>
    <row r="296" spans="1:8" x14ac:dyDescent="0.25">
      <c r="B296" s="50">
        <v>88278</v>
      </c>
      <c r="C296" s="17" t="s">
        <v>224</v>
      </c>
      <c r="D296" s="216" t="s">
        <v>200</v>
      </c>
      <c r="E296" s="26">
        <v>0.36280000000000001</v>
      </c>
      <c r="F296" s="27">
        <v>14.07</v>
      </c>
      <c r="G296" s="37">
        <f>E296*F296</f>
        <v>5.1045959999999999</v>
      </c>
    </row>
    <row r="297" spans="1:8" x14ac:dyDescent="0.25">
      <c r="B297" s="215">
        <v>88316</v>
      </c>
      <c r="C297" s="17" t="s">
        <v>201</v>
      </c>
      <c r="D297" s="216" t="s">
        <v>200</v>
      </c>
      <c r="E297" s="26">
        <v>0.36280000000000001</v>
      </c>
      <c r="F297" s="27">
        <v>16.21</v>
      </c>
      <c r="G297" s="37">
        <f>E297*F297</f>
        <v>5.8809880000000003</v>
      </c>
    </row>
    <row r="298" spans="1:8" x14ac:dyDescent="0.25">
      <c r="B298" s="215"/>
      <c r="C298" s="25"/>
      <c r="D298" s="25"/>
      <c r="E298" s="38"/>
      <c r="F298" s="39" t="s">
        <v>183</v>
      </c>
      <c r="G298" s="40">
        <f>SUM(G296:G297)</f>
        <v>10.985583999999999</v>
      </c>
    </row>
    <row r="299" spans="1:8" x14ac:dyDescent="0.25">
      <c r="B299" s="358" t="s">
        <v>182</v>
      </c>
      <c r="C299" s="359"/>
      <c r="D299" s="216"/>
      <c r="E299" s="26"/>
      <c r="F299" s="36"/>
      <c r="G299" s="37"/>
    </row>
    <row r="300" spans="1:8" x14ac:dyDescent="0.25">
      <c r="B300" s="50">
        <v>335</v>
      </c>
      <c r="C300" s="17" t="s">
        <v>223</v>
      </c>
      <c r="D300" s="216" t="s">
        <v>2</v>
      </c>
      <c r="E300" s="26">
        <v>4.2599999999999999E-2</v>
      </c>
      <c r="F300" s="42">
        <v>11.24</v>
      </c>
      <c r="G300" s="37">
        <f t="shared" ref="G300:G306" si="0">E300*F300</f>
        <v>0.47882399999999997</v>
      </c>
    </row>
    <row r="301" spans="1:8" ht="22.5" x14ac:dyDescent="0.25">
      <c r="B301" s="50">
        <v>39413</v>
      </c>
      <c r="C301" s="17" t="s">
        <v>222</v>
      </c>
      <c r="D301" s="216" t="s">
        <v>206</v>
      </c>
      <c r="E301" s="26">
        <v>1.0966</v>
      </c>
      <c r="F301" s="42">
        <v>15.84</v>
      </c>
      <c r="G301" s="37">
        <f t="shared" si="0"/>
        <v>17.370144</v>
      </c>
    </row>
    <row r="302" spans="1:8" s="179" customFormat="1" ht="22.5" x14ac:dyDescent="0.25">
      <c r="A302" s="161"/>
      <c r="B302" s="50">
        <v>39427</v>
      </c>
      <c r="C302" s="17" t="s">
        <v>899</v>
      </c>
      <c r="D302" s="216" t="s">
        <v>11</v>
      </c>
      <c r="E302" s="54">
        <v>3.851</v>
      </c>
      <c r="F302" s="42">
        <v>3.91</v>
      </c>
      <c r="G302" s="37">
        <f>E302*F302</f>
        <v>15.057410000000001</v>
      </c>
      <c r="H302" s="180"/>
    </row>
    <row r="303" spans="1:8" ht="22.5" x14ac:dyDescent="0.25">
      <c r="B303" s="50">
        <v>39430</v>
      </c>
      <c r="C303" s="17" t="s">
        <v>221</v>
      </c>
      <c r="D303" s="216" t="s">
        <v>180</v>
      </c>
      <c r="E303" s="26">
        <v>1.3265</v>
      </c>
      <c r="F303" s="42">
        <v>1.47</v>
      </c>
      <c r="G303" s="37">
        <f>E303*F303</f>
        <v>1.9499549999999999</v>
      </c>
    </row>
    <row r="304" spans="1:8" ht="22.5" x14ac:dyDescent="0.25">
      <c r="B304" s="50">
        <v>39432</v>
      </c>
      <c r="C304" s="17" t="s">
        <v>220</v>
      </c>
      <c r="D304" s="216" t="s">
        <v>11</v>
      </c>
      <c r="E304" s="26">
        <v>1.4395</v>
      </c>
      <c r="F304" s="42">
        <v>2.34</v>
      </c>
      <c r="G304" s="37">
        <f t="shared" si="0"/>
        <v>3.3684299999999996</v>
      </c>
    </row>
    <row r="305" spans="1:8" ht="22.5" x14ac:dyDescent="0.25">
      <c r="B305" s="50">
        <v>39434</v>
      </c>
      <c r="C305" s="17" t="s">
        <v>219</v>
      </c>
      <c r="D305" s="216" t="s">
        <v>2</v>
      </c>
      <c r="E305" s="26">
        <v>0.5202</v>
      </c>
      <c r="F305" s="42">
        <v>3.15</v>
      </c>
      <c r="G305" s="37">
        <f t="shared" si="0"/>
        <v>1.63863</v>
      </c>
    </row>
    <row r="306" spans="1:8" ht="22.5" x14ac:dyDescent="0.25">
      <c r="B306" s="50">
        <v>39435</v>
      </c>
      <c r="C306" s="17" t="s">
        <v>218</v>
      </c>
      <c r="D306" s="216" t="s">
        <v>180</v>
      </c>
      <c r="E306" s="26">
        <v>7.9740000000000002</v>
      </c>
      <c r="F306" s="42">
        <v>0.05</v>
      </c>
      <c r="G306" s="37">
        <f t="shared" si="0"/>
        <v>0.39870000000000005</v>
      </c>
    </row>
    <row r="307" spans="1:8" s="179" customFormat="1" ht="22.5" x14ac:dyDescent="0.25">
      <c r="A307" s="161"/>
      <c r="B307" s="50">
        <v>39443</v>
      </c>
      <c r="C307" s="17" t="s">
        <v>217</v>
      </c>
      <c r="D307" s="216" t="s">
        <v>180</v>
      </c>
      <c r="E307" s="58">
        <v>2.1911999999999998</v>
      </c>
      <c r="F307" s="42">
        <v>0.13</v>
      </c>
      <c r="G307" s="37">
        <f t="shared" ref="G307:G308" si="1">E307*F307</f>
        <v>0.284856</v>
      </c>
      <c r="H307" s="180"/>
    </row>
    <row r="308" spans="1:8" s="179" customFormat="1" x14ac:dyDescent="0.25">
      <c r="A308" s="161"/>
      <c r="B308" s="50">
        <v>40547</v>
      </c>
      <c r="C308" s="17" t="s">
        <v>900</v>
      </c>
      <c r="D308" s="216" t="s">
        <v>216</v>
      </c>
      <c r="E308" s="58">
        <v>1.32E-2</v>
      </c>
      <c r="F308" s="42">
        <v>14.77</v>
      </c>
      <c r="G308" s="37">
        <f t="shared" si="1"/>
        <v>0.194964</v>
      </c>
      <c r="H308" s="180"/>
    </row>
    <row r="309" spans="1:8" x14ac:dyDescent="0.25">
      <c r="B309" s="215"/>
      <c r="C309" s="66"/>
      <c r="D309" s="25"/>
      <c r="E309" s="26"/>
      <c r="F309" s="27" t="s">
        <v>179</v>
      </c>
      <c r="G309" s="40">
        <f>SUM(G300:G308)</f>
        <v>40.741912999999997</v>
      </c>
    </row>
    <row r="310" spans="1:8" ht="15.75" thickBot="1" x14ac:dyDescent="0.3">
      <c r="B310" s="215"/>
      <c r="C310" s="17"/>
      <c r="D310" s="25"/>
      <c r="E310" s="26"/>
      <c r="F310" s="16"/>
      <c r="G310" s="43"/>
    </row>
    <row r="311" spans="1:8" ht="15.75" thickBot="1" x14ac:dyDescent="0.3">
      <c r="B311" s="44" t="s">
        <v>240</v>
      </c>
      <c r="C311" s="45" t="s">
        <v>901</v>
      </c>
      <c r="D311" s="46"/>
      <c r="E311" s="47"/>
      <c r="F311" s="16" t="s">
        <v>178</v>
      </c>
      <c r="G311" s="113">
        <f>G298+G309</f>
        <v>51.727497</v>
      </c>
    </row>
    <row r="312" spans="1:8" ht="15.75" thickBot="1" x14ac:dyDescent="0.3">
      <c r="B312" s="23" t="s">
        <v>38</v>
      </c>
      <c r="C312" s="22" t="s">
        <v>66</v>
      </c>
      <c r="D312" s="21"/>
      <c r="E312" s="21"/>
      <c r="F312" s="21"/>
      <c r="G312" s="21"/>
    </row>
    <row r="313" spans="1:8" x14ac:dyDescent="0.25">
      <c r="B313" s="30" t="s">
        <v>251</v>
      </c>
      <c r="C313" s="51" t="s">
        <v>870</v>
      </c>
      <c r="D313" s="32"/>
      <c r="E313" s="69" t="s">
        <v>193</v>
      </c>
      <c r="F313" s="33" t="s">
        <v>192</v>
      </c>
      <c r="G313" s="34" t="s">
        <v>203</v>
      </c>
    </row>
    <row r="314" spans="1:8" x14ac:dyDescent="0.25">
      <c r="B314" s="35" t="s">
        <v>0</v>
      </c>
      <c r="C314" s="20" t="s">
        <v>1</v>
      </c>
      <c r="D314" s="20" t="s">
        <v>190</v>
      </c>
      <c r="E314" s="19" t="s">
        <v>189</v>
      </c>
      <c r="F314" s="18" t="s">
        <v>188</v>
      </c>
      <c r="G314" s="64" t="s">
        <v>187</v>
      </c>
    </row>
    <row r="315" spans="1:8" x14ac:dyDescent="0.25">
      <c r="B315" s="358" t="s">
        <v>186</v>
      </c>
      <c r="C315" s="359"/>
      <c r="D315" s="216"/>
      <c r="E315" s="26"/>
      <c r="F315" s="36"/>
      <c r="G315" s="37"/>
    </row>
    <row r="316" spans="1:8" x14ac:dyDescent="0.25">
      <c r="B316" s="50">
        <v>88278</v>
      </c>
      <c r="C316" s="17" t="s">
        <v>224</v>
      </c>
      <c r="D316" s="216" t="s">
        <v>184</v>
      </c>
      <c r="E316" s="58">
        <f>0.0258+0.3</f>
        <v>0.32579999999999998</v>
      </c>
      <c r="F316" s="27">
        <v>14.07</v>
      </c>
      <c r="G316" s="37">
        <f>E316*F316</f>
        <v>4.5840059999999996</v>
      </c>
    </row>
    <row r="317" spans="1:8" x14ac:dyDescent="0.25">
      <c r="B317" s="215">
        <v>88316</v>
      </c>
      <c r="C317" s="17" t="s">
        <v>201</v>
      </c>
      <c r="D317" s="216" t="s">
        <v>200</v>
      </c>
      <c r="E317" s="26">
        <f>0.0507+0.3</f>
        <v>0.35070000000000001</v>
      </c>
      <c r="F317" s="27">
        <v>16.21</v>
      </c>
      <c r="G317" s="37">
        <f>E317*F317</f>
        <v>5.6848470000000004</v>
      </c>
    </row>
    <row r="318" spans="1:8" x14ac:dyDescent="0.25">
      <c r="B318" s="215"/>
      <c r="C318" s="25"/>
      <c r="D318" s="25"/>
      <c r="E318" s="53"/>
      <c r="F318" s="39" t="s">
        <v>183</v>
      </c>
      <c r="G318" s="40">
        <f>SUM(G316:G317)</f>
        <v>10.268853</v>
      </c>
    </row>
    <row r="319" spans="1:8" ht="15.75" thickBot="1" x14ac:dyDescent="0.3">
      <c r="B319" s="215"/>
      <c r="C319" s="17"/>
      <c r="D319" s="25"/>
      <c r="E319" s="26"/>
      <c r="F319" s="16"/>
      <c r="G319" s="43"/>
    </row>
    <row r="320" spans="1:8" ht="15.75" thickBot="1" x14ac:dyDescent="0.3">
      <c r="B320" s="44" t="s">
        <v>240</v>
      </c>
      <c r="C320" s="45" t="s">
        <v>882</v>
      </c>
      <c r="D320" s="46"/>
      <c r="E320" s="47"/>
      <c r="F320" s="16" t="s">
        <v>178</v>
      </c>
      <c r="G320" s="113">
        <f>G318</f>
        <v>10.268853</v>
      </c>
    </row>
    <row r="321" spans="2:9" x14ac:dyDescent="0.25">
      <c r="B321" s="23" t="s">
        <v>20</v>
      </c>
      <c r="C321" s="22" t="s">
        <v>252</v>
      </c>
      <c r="D321" s="21"/>
      <c r="E321" s="21"/>
      <c r="F321" s="21"/>
      <c r="G321" s="21"/>
    </row>
    <row r="322" spans="2:9" x14ac:dyDescent="0.25">
      <c r="B322" s="23" t="s">
        <v>64</v>
      </c>
      <c r="C322" s="22" t="s">
        <v>65</v>
      </c>
      <c r="D322" s="21"/>
      <c r="E322" s="21"/>
      <c r="F322" s="21"/>
      <c r="G322" s="21"/>
    </row>
    <row r="323" spans="2:9" ht="15.75" thickBot="1" x14ac:dyDescent="0.3">
      <c r="B323" s="23" t="s">
        <v>67</v>
      </c>
      <c r="C323" s="22" t="s">
        <v>379</v>
      </c>
      <c r="D323" s="21"/>
      <c r="E323" s="21"/>
      <c r="F323" s="21"/>
      <c r="G323" s="21"/>
    </row>
    <row r="324" spans="2:9" x14ac:dyDescent="0.25">
      <c r="B324" s="30" t="s">
        <v>135</v>
      </c>
      <c r="C324" s="51" t="s">
        <v>674</v>
      </c>
      <c r="D324" s="32"/>
      <c r="E324" s="69" t="s">
        <v>415</v>
      </c>
      <c r="F324" s="33" t="s">
        <v>192</v>
      </c>
      <c r="G324" s="34" t="s">
        <v>422</v>
      </c>
    </row>
    <row r="325" spans="2:9" x14ac:dyDescent="0.25">
      <c r="B325" s="35" t="s">
        <v>0</v>
      </c>
      <c r="C325" s="20" t="s">
        <v>1</v>
      </c>
      <c r="D325" s="20" t="s">
        <v>190</v>
      </c>
      <c r="E325" s="59" t="s">
        <v>189</v>
      </c>
      <c r="F325" s="18" t="s">
        <v>188</v>
      </c>
      <c r="G325" s="64" t="s">
        <v>187</v>
      </c>
    </row>
    <row r="326" spans="2:9" x14ac:dyDescent="0.25">
      <c r="B326" s="358" t="s">
        <v>186</v>
      </c>
      <c r="C326" s="359"/>
      <c r="D326" s="216"/>
      <c r="E326" s="26"/>
      <c r="F326" s="36"/>
      <c r="G326" s="37"/>
    </row>
    <row r="327" spans="2:9" x14ac:dyDescent="0.25">
      <c r="B327" s="50">
        <v>88262</v>
      </c>
      <c r="C327" s="17" t="s">
        <v>416</v>
      </c>
      <c r="D327" s="216" t="s">
        <v>184</v>
      </c>
      <c r="E327" s="54">
        <f>2.256</f>
        <v>2.2559999999999998</v>
      </c>
      <c r="F327" s="27">
        <v>21.61</v>
      </c>
      <c r="G327" s="37">
        <f>E327*F327</f>
        <v>48.752159999999996</v>
      </c>
    </row>
    <row r="328" spans="2:9" x14ac:dyDescent="0.25">
      <c r="B328" s="215">
        <v>88309</v>
      </c>
      <c r="C328" s="17" t="s">
        <v>215</v>
      </c>
      <c r="D328" s="216" t="s">
        <v>200</v>
      </c>
      <c r="E328" s="54">
        <f>1.983</f>
        <v>1.9830000000000001</v>
      </c>
      <c r="F328" s="27">
        <v>21.74</v>
      </c>
      <c r="G328" s="37">
        <f>E328*F328</f>
        <v>43.110419999999998</v>
      </c>
    </row>
    <row r="329" spans="2:9" x14ac:dyDescent="0.25">
      <c r="B329" s="215">
        <v>88316</v>
      </c>
      <c r="C329" s="17" t="s">
        <v>201</v>
      </c>
      <c r="D329" s="216" t="s">
        <v>200</v>
      </c>
      <c r="E329" s="54">
        <f>4.239</f>
        <v>4.2389999999999999</v>
      </c>
      <c r="F329" s="27">
        <v>16.21</v>
      </c>
      <c r="G329" s="37">
        <f>E329*F329</f>
        <v>68.714190000000002</v>
      </c>
    </row>
    <row r="330" spans="2:9" x14ac:dyDescent="0.25">
      <c r="B330" s="215"/>
      <c r="C330" s="25"/>
      <c r="D330" s="25"/>
      <c r="E330" s="53"/>
      <c r="F330" s="39" t="s">
        <v>183</v>
      </c>
      <c r="G330" s="40">
        <f>SUM(G327:G329)</f>
        <v>160.57677000000001</v>
      </c>
    </row>
    <row r="331" spans="2:9" x14ac:dyDescent="0.25">
      <c r="B331" s="358" t="s">
        <v>182</v>
      </c>
      <c r="C331" s="359"/>
      <c r="D331" s="216"/>
      <c r="E331" s="26"/>
      <c r="F331" s="36"/>
      <c r="G331" s="37"/>
    </row>
    <row r="332" spans="2:9" ht="22.5" x14ac:dyDescent="0.25">
      <c r="B332" s="50">
        <v>4460</v>
      </c>
      <c r="C332" s="17" t="s">
        <v>417</v>
      </c>
      <c r="D332" s="216" t="s">
        <v>11</v>
      </c>
      <c r="E332" s="54">
        <f>2.5</f>
        <v>2.5</v>
      </c>
      <c r="F332" s="27">
        <v>8.6300000000000008</v>
      </c>
      <c r="G332" s="37">
        <f>E332*F332</f>
        <v>21.575000000000003</v>
      </c>
      <c r="I332" s="161"/>
    </row>
    <row r="333" spans="2:9" x14ac:dyDescent="0.25">
      <c r="B333" s="50">
        <v>4517</v>
      </c>
      <c r="C333" s="17" t="s">
        <v>418</v>
      </c>
      <c r="D333" s="216" t="s">
        <v>11</v>
      </c>
      <c r="E333" s="54">
        <f>2</f>
        <v>2</v>
      </c>
      <c r="F333" s="27">
        <v>0.42</v>
      </c>
      <c r="G333" s="37">
        <f>E333*F333</f>
        <v>0.84</v>
      </c>
      <c r="I333" s="161"/>
    </row>
    <row r="334" spans="2:9" ht="22.5" x14ac:dyDescent="0.25">
      <c r="B334" s="50">
        <v>94964</v>
      </c>
      <c r="C334" s="17" t="s">
        <v>419</v>
      </c>
      <c r="D334" s="216" t="s">
        <v>253</v>
      </c>
      <c r="E334" s="54">
        <f>1.213</f>
        <v>1.2130000000000001</v>
      </c>
      <c r="F334" s="42">
        <v>305.24</v>
      </c>
      <c r="G334" s="37">
        <f>E334*F334</f>
        <v>370.25612000000001</v>
      </c>
      <c r="I334" s="161"/>
    </row>
    <row r="335" spans="2:9" x14ac:dyDescent="0.25">
      <c r="B335" s="215"/>
      <c r="C335" s="25"/>
      <c r="D335" s="25"/>
      <c r="E335" s="26"/>
      <c r="F335" s="27" t="s">
        <v>179</v>
      </c>
      <c r="G335" s="40">
        <f>SUM(G332:G334)</f>
        <v>392.67112000000003</v>
      </c>
      <c r="I335" s="161"/>
    </row>
    <row r="336" spans="2:9" ht="15.75" thickBot="1" x14ac:dyDescent="0.3">
      <c r="B336" s="215"/>
      <c r="C336" s="17"/>
      <c r="D336" s="25"/>
      <c r="E336" s="26"/>
      <c r="F336" s="16"/>
      <c r="G336" s="43"/>
      <c r="I336" s="161"/>
    </row>
    <row r="337" spans="2:7" ht="15.75" thickBot="1" x14ac:dyDescent="0.3">
      <c r="B337" s="44" t="s">
        <v>240</v>
      </c>
      <c r="C337" s="45" t="s">
        <v>415</v>
      </c>
      <c r="D337" s="46"/>
      <c r="E337" s="47"/>
      <c r="F337" s="16" t="s">
        <v>178</v>
      </c>
      <c r="G337" s="113">
        <f>G330+G335</f>
        <v>553.2478900000001</v>
      </c>
    </row>
    <row r="338" spans="2:7" x14ac:dyDescent="0.25">
      <c r="B338" s="30" t="s">
        <v>136</v>
      </c>
      <c r="C338" s="51" t="s">
        <v>420</v>
      </c>
      <c r="D338" s="32"/>
      <c r="E338" s="69" t="s">
        <v>871</v>
      </c>
      <c r="F338" s="33" t="s">
        <v>192</v>
      </c>
      <c r="G338" s="34" t="s">
        <v>225</v>
      </c>
    </row>
    <row r="339" spans="2:7" x14ac:dyDescent="0.25">
      <c r="B339" s="35" t="s">
        <v>0</v>
      </c>
      <c r="C339" s="20" t="s">
        <v>1</v>
      </c>
      <c r="D339" s="20" t="s">
        <v>190</v>
      </c>
      <c r="E339" s="59" t="s">
        <v>189</v>
      </c>
      <c r="F339" s="18" t="s">
        <v>188</v>
      </c>
      <c r="G339" s="64" t="s">
        <v>187</v>
      </c>
    </row>
    <row r="340" spans="2:7" x14ac:dyDescent="0.25">
      <c r="B340" s="358" t="s">
        <v>186</v>
      </c>
      <c r="C340" s="359"/>
      <c r="D340" s="216"/>
      <c r="E340" s="26"/>
      <c r="F340" s="36"/>
      <c r="G340" s="37"/>
    </row>
    <row r="341" spans="2:7" x14ac:dyDescent="0.25">
      <c r="B341" s="215">
        <v>88309</v>
      </c>
      <c r="C341" s="17" t="s">
        <v>215</v>
      </c>
      <c r="D341" s="216" t="s">
        <v>200</v>
      </c>
      <c r="E341" s="54">
        <v>0.85</v>
      </c>
      <c r="F341" s="27">
        <v>21.74</v>
      </c>
      <c r="G341" s="37">
        <f>E341*F341</f>
        <v>18.478999999999999</v>
      </c>
    </row>
    <row r="342" spans="2:7" x14ac:dyDescent="0.25">
      <c r="B342" s="215">
        <v>88316</v>
      </c>
      <c r="C342" s="17" t="s">
        <v>201</v>
      </c>
      <c r="D342" s="216" t="s">
        <v>200</v>
      </c>
      <c r="E342" s="54">
        <v>0.85</v>
      </c>
      <c r="F342" s="27">
        <v>16.21</v>
      </c>
      <c r="G342" s="37">
        <f>E342*F342</f>
        <v>13.778500000000001</v>
      </c>
    </row>
    <row r="343" spans="2:7" x14ac:dyDescent="0.25">
      <c r="B343" s="215"/>
      <c r="C343" s="25"/>
      <c r="D343" s="25"/>
      <c r="E343" s="53"/>
      <c r="F343" s="39" t="s">
        <v>183</v>
      </c>
      <c r="G343" s="40">
        <f>SUM(G341:G342)</f>
        <v>32.2575</v>
      </c>
    </row>
    <row r="344" spans="2:7" x14ac:dyDescent="0.25">
      <c r="B344" s="358" t="s">
        <v>182</v>
      </c>
      <c r="C344" s="359"/>
      <c r="D344" s="216"/>
      <c r="E344" s="26"/>
      <c r="F344" s="36"/>
      <c r="G344" s="37"/>
    </row>
    <row r="345" spans="2:7" x14ac:dyDescent="0.25">
      <c r="B345" s="215">
        <v>88631</v>
      </c>
      <c r="C345" s="17" t="s">
        <v>421</v>
      </c>
      <c r="D345" s="216" t="s">
        <v>253</v>
      </c>
      <c r="E345" s="54">
        <v>3.5000000000000003E-2</v>
      </c>
      <c r="F345" s="27">
        <v>377.3</v>
      </c>
      <c r="G345" s="37">
        <f>E345*F345</f>
        <v>13.205500000000002</v>
      </c>
    </row>
    <row r="346" spans="2:7" x14ac:dyDescent="0.25">
      <c r="B346" s="215"/>
      <c r="C346" s="25"/>
      <c r="D346" s="25"/>
      <c r="E346" s="26"/>
      <c r="F346" s="27" t="s">
        <v>179</v>
      </c>
      <c r="G346" s="40">
        <f>SUM(G345:G345)</f>
        <v>13.205500000000002</v>
      </c>
    </row>
    <row r="347" spans="2:7" ht="15.75" thickBot="1" x14ac:dyDescent="0.3">
      <c r="B347" s="215"/>
      <c r="C347" s="17"/>
      <c r="D347" s="25"/>
      <c r="E347" s="26"/>
      <c r="F347" s="16"/>
      <c r="G347" s="43"/>
    </row>
    <row r="348" spans="2:7" ht="15.75" thickBot="1" x14ac:dyDescent="0.3">
      <c r="B348" s="44" t="s">
        <v>240</v>
      </c>
      <c r="C348" s="45" t="s">
        <v>871</v>
      </c>
      <c r="D348" s="46"/>
      <c r="E348" s="47"/>
      <c r="F348" s="16" t="s">
        <v>178</v>
      </c>
      <c r="G348" s="113">
        <f>G343+G346</f>
        <v>45.463000000000001</v>
      </c>
    </row>
    <row r="349" spans="2:7" x14ac:dyDescent="0.25">
      <c r="B349" s="23" t="s">
        <v>134</v>
      </c>
      <c r="C349" s="22" t="s">
        <v>39</v>
      </c>
      <c r="D349" s="21"/>
      <c r="E349" s="21"/>
      <c r="F349" s="21"/>
      <c r="G349" s="21"/>
    </row>
    <row r="350" spans="2:7" x14ac:dyDescent="0.25">
      <c r="B350" s="23" t="s">
        <v>137</v>
      </c>
      <c r="C350" s="22" t="s">
        <v>54</v>
      </c>
      <c r="D350" s="21"/>
      <c r="E350" s="21"/>
      <c r="F350" s="21"/>
      <c r="G350" s="21"/>
    </row>
    <row r="351" spans="2:7" ht="15.75" thickBot="1" x14ac:dyDescent="0.3">
      <c r="B351" s="23" t="s">
        <v>138</v>
      </c>
      <c r="C351" s="22" t="s">
        <v>12</v>
      </c>
      <c r="D351" s="21"/>
      <c r="E351" s="21"/>
      <c r="F351" s="21"/>
      <c r="G351" s="21"/>
    </row>
    <row r="352" spans="2:7" x14ac:dyDescent="0.25">
      <c r="B352" s="30" t="s">
        <v>918</v>
      </c>
      <c r="C352" s="51" t="s">
        <v>425</v>
      </c>
      <c r="D352" s="32"/>
      <c r="E352" s="69" t="s">
        <v>297</v>
      </c>
      <c r="F352" s="33" t="s">
        <v>192</v>
      </c>
      <c r="G352" s="34" t="s">
        <v>203</v>
      </c>
    </row>
    <row r="353" spans="2:7" x14ac:dyDescent="0.25">
      <c r="B353" s="35" t="s">
        <v>0</v>
      </c>
      <c r="C353" s="20" t="s">
        <v>1</v>
      </c>
      <c r="D353" s="20" t="s">
        <v>190</v>
      </c>
      <c r="E353" s="59" t="s">
        <v>189</v>
      </c>
      <c r="F353" s="18" t="s">
        <v>188</v>
      </c>
      <c r="G353" s="64" t="s">
        <v>187</v>
      </c>
    </row>
    <row r="354" spans="2:7" x14ac:dyDescent="0.25">
      <c r="B354" s="358" t="s">
        <v>186</v>
      </c>
      <c r="C354" s="359"/>
      <c r="D354" s="216"/>
      <c r="E354" s="26"/>
      <c r="F354" s="36"/>
      <c r="G354" s="37"/>
    </row>
    <row r="355" spans="2:7" x14ac:dyDescent="0.25">
      <c r="B355" s="50">
        <v>88309</v>
      </c>
      <c r="C355" s="17" t="s">
        <v>215</v>
      </c>
      <c r="D355" s="216" t="s">
        <v>184</v>
      </c>
      <c r="E355" s="71">
        <v>7.2999999999999995E-2</v>
      </c>
      <c r="F355" s="27">
        <v>21.74</v>
      </c>
      <c r="G355" s="37">
        <f>E355*F355</f>
        <v>1.5870199999999999</v>
      </c>
    </row>
    <row r="356" spans="2:7" x14ac:dyDescent="0.25">
      <c r="B356" s="50">
        <v>88316</v>
      </c>
      <c r="C356" s="17" t="s">
        <v>201</v>
      </c>
      <c r="D356" s="216" t="s">
        <v>184</v>
      </c>
      <c r="E356" s="71">
        <v>3.5999999999999997E-2</v>
      </c>
      <c r="F356" s="27">
        <v>16.21</v>
      </c>
      <c r="G356" s="37">
        <f>E356*F356</f>
        <v>0.58355999999999997</v>
      </c>
    </row>
    <row r="357" spans="2:7" x14ac:dyDescent="0.25">
      <c r="B357" s="215"/>
      <c r="C357" s="25"/>
      <c r="D357" s="25"/>
      <c r="E357" s="53"/>
      <c r="F357" s="39" t="s">
        <v>183</v>
      </c>
      <c r="G357" s="40">
        <f>SUM(G355:G356)</f>
        <v>2.1705799999999997</v>
      </c>
    </row>
    <row r="358" spans="2:7" x14ac:dyDescent="0.25">
      <c r="B358" s="358" t="s">
        <v>182</v>
      </c>
      <c r="C358" s="359"/>
      <c r="D358" s="216"/>
      <c r="E358" s="26"/>
      <c r="F358" s="36"/>
      <c r="G358" s="37"/>
    </row>
    <row r="359" spans="2:7" ht="22.5" x14ac:dyDescent="0.25">
      <c r="B359" s="50">
        <v>87401</v>
      </c>
      <c r="C359" s="17" t="s">
        <v>400</v>
      </c>
      <c r="D359" s="216" t="s">
        <v>253</v>
      </c>
      <c r="E359" s="67">
        <v>1.5E-3</v>
      </c>
      <c r="F359" s="42">
        <v>3403.81</v>
      </c>
      <c r="G359" s="37">
        <f>E359*F359</f>
        <v>5.105715</v>
      </c>
    </row>
    <row r="360" spans="2:7" x14ac:dyDescent="0.25">
      <c r="B360" s="215"/>
      <c r="C360" s="25"/>
      <c r="D360" s="25"/>
      <c r="E360" s="26"/>
      <c r="F360" s="27" t="s">
        <v>179</v>
      </c>
      <c r="G360" s="40">
        <f>SUM(G359:G359)</f>
        <v>5.105715</v>
      </c>
    </row>
    <row r="361" spans="2:7" ht="15.75" thickBot="1" x14ac:dyDescent="0.3">
      <c r="B361" s="215"/>
      <c r="C361" s="17"/>
      <c r="D361" s="25"/>
      <c r="E361" s="26"/>
      <c r="F361" s="16"/>
      <c r="G361" s="43"/>
    </row>
    <row r="362" spans="2:7" ht="15.75" thickBot="1" x14ac:dyDescent="0.3">
      <c r="B362" s="44" t="s">
        <v>240</v>
      </c>
      <c r="C362" s="45" t="s">
        <v>297</v>
      </c>
      <c r="D362" s="46"/>
      <c r="E362" s="47"/>
      <c r="F362" s="16" t="s">
        <v>178</v>
      </c>
      <c r="G362" s="113">
        <f>G357+G360</f>
        <v>7.2762949999999993</v>
      </c>
    </row>
    <row r="363" spans="2:7" ht="15.75" thickBot="1" x14ac:dyDescent="0.3">
      <c r="B363" s="23" t="s">
        <v>139</v>
      </c>
      <c r="C363" s="22" t="s">
        <v>55</v>
      </c>
      <c r="D363" s="21"/>
      <c r="E363" s="21"/>
      <c r="F363" s="21"/>
      <c r="G363" s="21"/>
    </row>
    <row r="364" spans="2:7" x14ac:dyDescent="0.25">
      <c r="B364" s="30" t="s">
        <v>296</v>
      </c>
      <c r="C364" s="51" t="s">
        <v>424</v>
      </c>
      <c r="D364" s="32"/>
      <c r="E364" s="69" t="s">
        <v>423</v>
      </c>
      <c r="F364" s="33" t="s">
        <v>192</v>
      </c>
      <c r="G364" s="34" t="s">
        <v>203</v>
      </c>
    </row>
    <row r="365" spans="2:7" x14ac:dyDescent="0.25">
      <c r="B365" s="35" t="s">
        <v>0</v>
      </c>
      <c r="C365" s="20" t="s">
        <v>1</v>
      </c>
      <c r="D365" s="20" t="s">
        <v>190</v>
      </c>
      <c r="E365" s="59" t="s">
        <v>189</v>
      </c>
      <c r="F365" s="18" t="s">
        <v>188</v>
      </c>
      <c r="G365" s="64" t="s">
        <v>187</v>
      </c>
    </row>
    <row r="366" spans="2:7" x14ac:dyDescent="0.25">
      <c r="B366" s="358" t="s">
        <v>186</v>
      </c>
      <c r="C366" s="359"/>
      <c r="D366" s="216"/>
      <c r="E366" s="26"/>
      <c r="F366" s="36"/>
      <c r="G366" s="37"/>
    </row>
    <row r="367" spans="2:7" x14ac:dyDescent="0.25">
      <c r="B367" s="50">
        <v>88309</v>
      </c>
      <c r="C367" s="17" t="s">
        <v>215</v>
      </c>
      <c r="D367" s="216" t="s">
        <v>184</v>
      </c>
      <c r="E367" s="71">
        <v>0.35</v>
      </c>
      <c r="F367" s="27">
        <v>21.74</v>
      </c>
      <c r="G367" s="37">
        <f>E367*F367</f>
        <v>7.6089999999999991</v>
      </c>
    </row>
    <row r="368" spans="2:7" x14ac:dyDescent="0.25">
      <c r="B368" s="50">
        <v>88316</v>
      </c>
      <c r="C368" s="17" t="s">
        <v>201</v>
      </c>
      <c r="D368" s="216" t="s">
        <v>184</v>
      </c>
      <c r="E368" s="71">
        <v>0.35</v>
      </c>
      <c r="F368" s="27">
        <v>16.21</v>
      </c>
      <c r="G368" s="37">
        <f>E368*F368</f>
        <v>5.6734999999999998</v>
      </c>
    </row>
    <row r="369" spans="1:8" x14ac:dyDescent="0.25">
      <c r="B369" s="215"/>
      <c r="C369" s="25"/>
      <c r="D369" s="25"/>
      <c r="E369" s="53"/>
      <c r="F369" s="39" t="s">
        <v>183</v>
      </c>
      <c r="G369" s="40">
        <f>SUM(G367:G368)</f>
        <v>13.282499999999999</v>
      </c>
    </row>
    <row r="370" spans="1:8" x14ac:dyDescent="0.25">
      <c r="B370" s="358" t="s">
        <v>182</v>
      </c>
      <c r="C370" s="359"/>
      <c r="D370" s="216"/>
      <c r="E370" s="26"/>
      <c r="F370" s="36"/>
      <c r="G370" s="37"/>
    </row>
    <row r="371" spans="1:8" s="179" customFormat="1" ht="22.5" x14ac:dyDescent="0.25">
      <c r="A371" s="161"/>
      <c r="B371" s="50">
        <v>37411</v>
      </c>
      <c r="C371" s="17" t="s">
        <v>872</v>
      </c>
      <c r="D371" s="216" t="s">
        <v>206</v>
      </c>
      <c r="E371" s="67">
        <v>0.15809999999999999</v>
      </c>
      <c r="F371" s="42">
        <v>9.6300000000000008</v>
      </c>
      <c r="G371" s="37">
        <f>E371*F371</f>
        <v>1.5225029999999999</v>
      </c>
      <c r="H371" s="180"/>
    </row>
    <row r="372" spans="1:8" ht="22.5" x14ac:dyDescent="0.25">
      <c r="B372" s="50">
        <v>87407</v>
      </c>
      <c r="C372" s="17" t="s">
        <v>403</v>
      </c>
      <c r="D372" s="216" t="s">
        <v>253</v>
      </c>
      <c r="E372" s="67">
        <v>3.9300000000000002E-2</v>
      </c>
      <c r="F372" s="42">
        <v>291.89999999999998</v>
      </c>
      <c r="G372" s="37">
        <f>E372*F372</f>
        <v>11.47167</v>
      </c>
    </row>
    <row r="373" spans="1:8" x14ac:dyDescent="0.25">
      <c r="B373" s="215"/>
      <c r="C373" s="25"/>
      <c r="D373" s="25"/>
      <c r="E373" s="26"/>
      <c r="F373" s="27" t="s">
        <v>179</v>
      </c>
      <c r="G373" s="40">
        <f>SUM(G371:G372)</f>
        <v>12.994173</v>
      </c>
    </row>
    <row r="374" spans="1:8" ht="15.75" thickBot="1" x14ac:dyDescent="0.3">
      <c r="B374" s="215"/>
      <c r="C374" s="17"/>
      <c r="D374" s="25"/>
      <c r="E374" s="26"/>
      <c r="F374" s="16"/>
      <c r="G374" s="43"/>
    </row>
    <row r="375" spans="1:8" ht="15.75" thickBot="1" x14ac:dyDescent="0.3">
      <c r="B375" s="44" t="s">
        <v>240</v>
      </c>
      <c r="C375" s="45" t="s">
        <v>423</v>
      </c>
      <c r="D375" s="46"/>
      <c r="E375" s="47"/>
      <c r="F375" s="16" t="s">
        <v>178</v>
      </c>
      <c r="G375" s="113">
        <f>G369+G373</f>
        <v>26.276672999999999</v>
      </c>
    </row>
    <row r="376" spans="1:8" x14ac:dyDescent="0.25">
      <c r="B376" s="23" t="s">
        <v>21</v>
      </c>
      <c r="C376" s="22" t="s">
        <v>19</v>
      </c>
      <c r="D376" s="21"/>
      <c r="E376" s="21"/>
      <c r="F376" s="21"/>
      <c r="G376" s="21"/>
    </row>
    <row r="377" spans="1:8" ht="15.75" thickBot="1" x14ac:dyDescent="0.3">
      <c r="B377" s="23" t="s">
        <v>72</v>
      </c>
      <c r="C377" s="22" t="s">
        <v>428</v>
      </c>
      <c r="D377" s="21"/>
      <c r="E377" s="21"/>
      <c r="F377" s="21"/>
      <c r="G377" s="21"/>
    </row>
    <row r="378" spans="1:8" x14ac:dyDescent="0.25">
      <c r="B378" s="30" t="s">
        <v>140</v>
      </c>
      <c r="C378" s="51" t="s">
        <v>919</v>
      </c>
      <c r="D378" s="32"/>
      <c r="E378" s="69" t="s">
        <v>920</v>
      </c>
      <c r="F378" s="33" t="s">
        <v>192</v>
      </c>
      <c r="G378" s="34" t="s">
        <v>203</v>
      </c>
    </row>
    <row r="379" spans="1:8" x14ac:dyDescent="0.25">
      <c r="B379" s="35" t="s">
        <v>0</v>
      </c>
      <c r="C379" s="20" t="s">
        <v>1</v>
      </c>
      <c r="D379" s="20" t="s">
        <v>190</v>
      </c>
      <c r="E379" s="59" t="s">
        <v>189</v>
      </c>
      <c r="F379" s="18" t="s">
        <v>188</v>
      </c>
      <c r="G379" s="64" t="s">
        <v>187</v>
      </c>
    </row>
    <row r="380" spans="1:8" x14ac:dyDescent="0.25">
      <c r="B380" s="358" t="s">
        <v>186</v>
      </c>
      <c r="C380" s="359"/>
      <c r="D380" s="216"/>
      <c r="E380" s="26"/>
      <c r="F380" s="36"/>
      <c r="G380" s="37"/>
    </row>
    <row r="381" spans="1:8" x14ac:dyDescent="0.25">
      <c r="B381" s="50">
        <v>88310</v>
      </c>
      <c r="C381" s="17" t="s">
        <v>429</v>
      </c>
      <c r="D381" s="216" t="s">
        <v>184</v>
      </c>
      <c r="E381" s="54">
        <v>0.747</v>
      </c>
      <c r="F381" s="27">
        <v>21.62</v>
      </c>
      <c r="G381" s="37">
        <f>E381*F381</f>
        <v>16.15014</v>
      </c>
    </row>
    <row r="382" spans="1:8" x14ac:dyDescent="0.25">
      <c r="B382" s="215">
        <v>88316</v>
      </c>
      <c r="C382" s="17" t="s">
        <v>201</v>
      </c>
      <c r="D382" s="216" t="s">
        <v>200</v>
      </c>
      <c r="E382" s="26">
        <v>0.187</v>
      </c>
      <c r="F382" s="27">
        <v>16.21</v>
      </c>
      <c r="G382" s="37">
        <f>E382*F382</f>
        <v>3.0312700000000001</v>
      </c>
    </row>
    <row r="383" spans="1:8" x14ac:dyDescent="0.25">
      <c r="B383" s="215"/>
      <c r="C383" s="25"/>
      <c r="D383" s="25"/>
      <c r="E383" s="53"/>
      <c r="F383" s="39" t="s">
        <v>183</v>
      </c>
      <c r="G383" s="40">
        <f>SUM(G381:G382)</f>
        <v>19.18141</v>
      </c>
    </row>
    <row r="384" spans="1:8" x14ac:dyDescent="0.25">
      <c r="B384" s="358" t="s">
        <v>182</v>
      </c>
      <c r="C384" s="359"/>
      <c r="D384" s="216"/>
      <c r="E384" s="26"/>
      <c r="F384" s="36"/>
      <c r="G384" s="37"/>
    </row>
    <row r="385" spans="2:7" x14ac:dyDescent="0.25">
      <c r="B385" s="215">
        <v>3767</v>
      </c>
      <c r="C385" s="54" t="s">
        <v>430</v>
      </c>
      <c r="D385" s="116" t="s">
        <v>180</v>
      </c>
      <c r="E385" s="71">
        <v>0.06</v>
      </c>
      <c r="F385" s="42">
        <v>0.64</v>
      </c>
      <c r="G385" s="37">
        <f>E385*F385</f>
        <v>3.8399999999999997E-2</v>
      </c>
    </row>
    <row r="386" spans="2:7" x14ac:dyDescent="0.25">
      <c r="B386" s="215">
        <v>4056</v>
      </c>
      <c r="C386" s="54" t="s">
        <v>921</v>
      </c>
      <c r="D386" s="116" t="s">
        <v>922</v>
      </c>
      <c r="E386" s="71">
        <v>0.16400000000000001</v>
      </c>
      <c r="F386" s="42">
        <v>29.64</v>
      </c>
      <c r="G386" s="37">
        <f>E386*F386</f>
        <v>4.8609600000000004</v>
      </c>
    </row>
    <row r="387" spans="2:7" x14ac:dyDescent="0.25">
      <c r="B387" s="215"/>
      <c r="C387" s="25"/>
      <c r="D387" s="25"/>
      <c r="E387" s="26"/>
      <c r="F387" s="27" t="s">
        <v>179</v>
      </c>
      <c r="G387" s="40">
        <f>SUM(G385:G386)</f>
        <v>4.8993600000000006</v>
      </c>
    </row>
    <row r="388" spans="2:7" ht="15.75" thickBot="1" x14ac:dyDescent="0.3">
      <c r="B388" s="215"/>
      <c r="C388" s="17"/>
      <c r="D388" s="25"/>
      <c r="E388" s="26"/>
      <c r="F388" s="16"/>
      <c r="G388" s="43"/>
    </row>
    <row r="389" spans="2:7" ht="15.75" thickBot="1" x14ac:dyDescent="0.3">
      <c r="B389" s="44" t="s">
        <v>240</v>
      </c>
      <c r="C389" s="45" t="s">
        <v>920</v>
      </c>
      <c r="D389" s="46"/>
      <c r="E389" s="47"/>
      <c r="F389" s="16" t="s">
        <v>178</v>
      </c>
      <c r="G389" s="113">
        <f>G383+G387</f>
        <v>24.080770000000001</v>
      </c>
    </row>
    <row r="390" spans="2:7" ht="15.75" thickBot="1" x14ac:dyDescent="0.3">
      <c r="B390" s="23" t="s">
        <v>73</v>
      </c>
      <c r="C390" s="22" t="s">
        <v>70</v>
      </c>
      <c r="D390" s="21"/>
      <c r="E390" s="21"/>
      <c r="F390" s="21"/>
      <c r="G390" s="21"/>
    </row>
    <row r="391" spans="2:7" x14ac:dyDescent="0.25">
      <c r="B391" s="30" t="s">
        <v>141</v>
      </c>
      <c r="C391" s="51" t="s">
        <v>254</v>
      </c>
      <c r="D391" s="32"/>
      <c r="E391" s="69" t="s">
        <v>299</v>
      </c>
      <c r="F391" s="33" t="s">
        <v>192</v>
      </c>
      <c r="G391" s="34" t="s">
        <v>203</v>
      </c>
    </row>
    <row r="392" spans="2:7" x14ac:dyDescent="0.25">
      <c r="B392" s="35" t="s">
        <v>0</v>
      </c>
      <c r="C392" s="20" t="s">
        <v>1</v>
      </c>
      <c r="D392" s="20" t="s">
        <v>190</v>
      </c>
      <c r="E392" s="59" t="s">
        <v>189</v>
      </c>
      <c r="F392" s="18" t="s">
        <v>188</v>
      </c>
      <c r="G392" s="64" t="s">
        <v>187</v>
      </c>
    </row>
    <row r="393" spans="2:7" x14ac:dyDescent="0.25">
      <c r="B393" s="356" t="s">
        <v>186</v>
      </c>
      <c r="C393" s="357"/>
      <c r="D393" s="216"/>
      <c r="E393" s="26"/>
      <c r="F393" s="36"/>
      <c r="G393" s="37"/>
    </row>
    <row r="394" spans="2:7" x14ac:dyDescent="0.25">
      <c r="B394" s="50">
        <v>88310</v>
      </c>
      <c r="C394" s="17" t="s">
        <v>429</v>
      </c>
      <c r="D394" s="216" t="s">
        <v>184</v>
      </c>
      <c r="E394" s="54">
        <v>0.15</v>
      </c>
      <c r="F394" s="27">
        <v>21.62</v>
      </c>
      <c r="G394" s="37">
        <f>E394*F394</f>
        <v>3.2429999999999999</v>
      </c>
    </row>
    <row r="395" spans="2:7" x14ac:dyDescent="0.25">
      <c r="B395" s="215">
        <v>88316</v>
      </c>
      <c r="C395" s="17" t="s">
        <v>201</v>
      </c>
      <c r="D395" s="216" t="s">
        <v>200</v>
      </c>
      <c r="E395" s="26">
        <v>7.4999999999999997E-3</v>
      </c>
      <c r="F395" s="27">
        <v>16.21</v>
      </c>
      <c r="G395" s="37">
        <f>E395*F395</f>
        <v>0.121575</v>
      </c>
    </row>
    <row r="396" spans="2:7" x14ac:dyDescent="0.25">
      <c r="B396" s="215"/>
      <c r="C396" s="25"/>
      <c r="D396" s="25"/>
      <c r="E396" s="53"/>
      <c r="F396" s="39" t="s">
        <v>183</v>
      </c>
      <c r="G396" s="40">
        <f>SUM(G394:G395)</f>
        <v>3.3645749999999999</v>
      </c>
    </row>
    <row r="397" spans="2:7" x14ac:dyDescent="0.25">
      <c r="B397" s="358" t="s">
        <v>182</v>
      </c>
      <c r="C397" s="359"/>
      <c r="D397" s="216"/>
      <c r="E397" s="26"/>
      <c r="F397" s="36"/>
      <c r="G397" s="37"/>
    </row>
    <row r="398" spans="2:7" x14ac:dyDescent="0.25">
      <c r="B398" s="50">
        <v>1107</v>
      </c>
      <c r="C398" s="54" t="s">
        <v>431</v>
      </c>
      <c r="D398" s="116" t="s">
        <v>2</v>
      </c>
      <c r="E398" s="71">
        <v>0.3</v>
      </c>
      <c r="F398" s="42">
        <v>0.54</v>
      </c>
      <c r="G398" s="37">
        <f>E398*F398</f>
        <v>0.16200000000000001</v>
      </c>
    </row>
    <row r="399" spans="2:7" x14ac:dyDescent="0.25">
      <c r="B399" s="215"/>
      <c r="C399" s="25"/>
      <c r="D399" s="25"/>
      <c r="E399" s="26"/>
      <c r="F399" s="27" t="s">
        <v>179</v>
      </c>
      <c r="G399" s="40">
        <f>SUM(G398:G398)</f>
        <v>0.16200000000000001</v>
      </c>
    </row>
    <row r="400" spans="2:7" ht="15.75" thickBot="1" x14ac:dyDescent="0.3">
      <c r="B400" s="215"/>
      <c r="C400" s="17"/>
      <c r="D400" s="25"/>
      <c r="E400" s="26"/>
      <c r="F400" s="16"/>
      <c r="G400" s="43"/>
    </row>
    <row r="401" spans="2:7" ht="15.75" thickBot="1" x14ac:dyDescent="0.3">
      <c r="B401" s="44" t="s">
        <v>240</v>
      </c>
      <c r="C401" s="45" t="s">
        <v>299</v>
      </c>
      <c r="D401" s="46"/>
      <c r="E401" s="47"/>
      <c r="F401" s="16" t="s">
        <v>178</v>
      </c>
      <c r="G401" s="113">
        <f>G396+G399</f>
        <v>3.5265749999999998</v>
      </c>
    </row>
    <row r="402" spans="2:7" ht="15.75" thickBot="1" x14ac:dyDescent="0.3">
      <c r="B402" s="23" t="s">
        <v>74</v>
      </c>
      <c r="C402" s="22" t="s">
        <v>68</v>
      </c>
      <c r="D402" s="21"/>
      <c r="E402" s="21"/>
      <c r="F402" s="21"/>
      <c r="G402" s="21"/>
    </row>
    <row r="403" spans="2:7" x14ac:dyDescent="0.25">
      <c r="B403" s="30" t="s">
        <v>142</v>
      </c>
      <c r="C403" s="51" t="s">
        <v>923</v>
      </c>
      <c r="D403" s="32"/>
      <c r="E403" s="69" t="s">
        <v>300</v>
      </c>
      <c r="F403" s="33" t="s">
        <v>192</v>
      </c>
      <c r="G403" s="34" t="s">
        <v>203</v>
      </c>
    </row>
    <row r="404" spans="2:7" x14ac:dyDescent="0.25">
      <c r="B404" s="35" t="s">
        <v>0</v>
      </c>
      <c r="C404" s="20" t="s">
        <v>1</v>
      </c>
      <c r="D404" s="20" t="s">
        <v>190</v>
      </c>
      <c r="E404" s="59" t="s">
        <v>189</v>
      </c>
      <c r="F404" s="18" t="s">
        <v>188</v>
      </c>
      <c r="G404" s="64" t="s">
        <v>187</v>
      </c>
    </row>
    <row r="405" spans="2:7" x14ac:dyDescent="0.25">
      <c r="B405" s="358" t="s">
        <v>186</v>
      </c>
      <c r="C405" s="359"/>
      <c r="D405" s="216"/>
      <c r="E405" s="26"/>
      <c r="F405" s="36"/>
      <c r="G405" s="37"/>
    </row>
    <row r="406" spans="2:7" x14ac:dyDescent="0.25">
      <c r="B406" s="50">
        <v>88310</v>
      </c>
      <c r="C406" s="17" t="s">
        <v>429</v>
      </c>
      <c r="D406" s="216" t="s">
        <v>184</v>
      </c>
      <c r="E406" s="54">
        <v>0.187</v>
      </c>
      <c r="F406" s="27">
        <v>21.62</v>
      </c>
      <c r="G406" s="37">
        <f>E406*F406</f>
        <v>4.0429399999999998</v>
      </c>
    </row>
    <row r="407" spans="2:7" x14ac:dyDescent="0.25">
      <c r="B407" s="215">
        <v>88316</v>
      </c>
      <c r="C407" s="17" t="s">
        <v>201</v>
      </c>
      <c r="D407" s="216" t="s">
        <v>200</v>
      </c>
      <c r="E407" s="26">
        <v>6.9000000000000006E-2</v>
      </c>
      <c r="F407" s="27">
        <v>16.21</v>
      </c>
      <c r="G407" s="37">
        <f>E407*F407</f>
        <v>1.1184900000000002</v>
      </c>
    </row>
    <row r="408" spans="2:7" x14ac:dyDescent="0.25">
      <c r="B408" s="215"/>
      <c r="C408" s="25"/>
      <c r="D408" s="25"/>
      <c r="E408" s="53"/>
      <c r="F408" s="39" t="s">
        <v>183</v>
      </c>
      <c r="G408" s="40">
        <f>SUM(G406:G407)</f>
        <v>5.1614300000000002</v>
      </c>
    </row>
    <row r="409" spans="2:7" x14ac:dyDescent="0.25">
      <c r="B409" s="358" t="s">
        <v>182</v>
      </c>
      <c r="C409" s="359"/>
      <c r="D409" s="216"/>
      <c r="E409" s="26"/>
      <c r="F409" s="36"/>
      <c r="G409" s="37"/>
    </row>
    <row r="410" spans="2:7" x14ac:dyDescent="0.25">
      <c r="B410" s="50">
        <v>7356</v>
      </c>
      <c r="C410" s="54" t="s">
        <v>432</v>
      </c>
      <c r="D410" s="116" t="s">
        <v>213</v>
      </c>
      <c r="E410" s="71">
        <v>0.33</v>
      </c>
      <c r="F410" s="42">
        <v>17.989999999999998</v>
      </c>
      <c r="G410" s="37">
        <f>E410*F410</f>
        <v>5.9367000000000001</v>
      </c>
    </row>
    <row r="411" spans="2:7" x14ac:dyDescent="0.25">
      <c r="B411" s="215"/>
      <c r="C411" s="25"/>
      <c r="D411" s="25"/>
      <c r="E411" s="26"/>
      <c r="F411" s="27" t="s">
        <v>179</v>
      </c>
      <c r="G411" s="40">
        <f>SUM(G410:G410)</f>
        <v>5.9367000000000001</v>
      </c>
    </row>
    <row r="412" spans="2:7" ht="15.75" thickBot="1" x14ac:dyDescent="0.3">
      <c r="B412" s="215"/>
      <c r="C412" s="17"/>
      <c r="D412" s="25"/>
      <c r="E412" s="26"/>
      <c r="F412" s="16"/>
      <c r="G412" s="43"/>
    </row>
    <row r="413" spans="2:7" ht="15.75" thickBot="1" x14ac:dyDescent="0.3">
      <c r="B413" s="44" t="s">
        <v>240</v>
      </c>
      <c r="C413" s="45" t="s">
        <v>300</v>
      </c>
      <c r="D413" s="46"/>
      <c r="E413" s="47"/>
      <c r="F413" s="16" t="s">
        <v>178</v>
      </c>
      <c r="G413" s="113">
        <f>G408+G411</f>
        <v>11.098130000000001</v>
      </c>
    </row>
    <row r="414" spans="2:7" x14ac:dyDescent="0.25">
      <c r="B414" s="30" t="s">
        <v>143</v>
      </c>
      <c r="C414" s="51" t="s">
        <v>257</v>
      </c>
      <c r="D414" s="32"/>
      <c r="E414" s="69" t="s">
        <v>301</v>
      </c>
      <c r="F414" s="33" t="s">
        <v>192</v>
      </c>
      <c r="G414" s="34" t="s">
        <v>203</v>
      </c>
    </row>
    <row r="415" spans="2:7" x14ac:dyDescent="0.25">
      <c r="B415" s="35" t="s">
        <v>0</v>
      </c>
      <c r="C415" s="20" t="s">
        <v>1</v>
      </c>
      <c r="D415" s="20" t="s">
        <v>190</v>
      </c>
      <c r="E415" s="59" t="s">
        <v>189</v>
      </c>
      <c r="F415" s="18" t="s">
        <v>188</v>
      </c>
      <c r="G415" s="64" t="s">
        <v>187</v>
      </c>
    </row>
    <row r="416" spans="2:7" x14ac:dyDescent="0.25">
      <c r="B416" s="358" t="s">
        <v>186</v>
      </c>
      <c r="C416" s="359"/>
      <c r="D416" s="216"/>
      <c r="E416" s="26"/>
      <c r="F416" s="36"/>
      <c r="G416" s="37"/>
    </row>
    <row r="417" spans="2:7" x14ac:dyDescent="0.25">
      <c r="B417" s="50">
        <v>88310</v>
      </c>
      <c r="C417" s="17" t="s">
        <v>429</v>
      </c>
      <c r="D417" s="216" t="s">
        <v>184</v>
      </c>
      <c r="E417" s="54">
        <v>0.35</v>
      </c>
      <c r="F417" s="27">
        <v>21.62</v>
      </c>
      <c r="G417" s="37">
        <f>E417*F417</f>
        <v>7.5670000000000002</v>
      </c>
    </row>
    <row r="418" spans="2:7" x14ac:dyDescent="0.25">
      <c r="B418" s="215">
        <v>88316</v>
      </c>
      <c r="C418" s="17" t="s">
        <v>201</v>
      </c>
      <c r="D418" s="216" t="s">
        <v>200</v>
      </c>
      <c r="E418" s="26">
        <v>0.25</v>
      </c>
      <c r="F418" s="27">
        <v>16.21</v>
      </c>
      <c r="G418" s="37">
        <f>E418*F418</f>
        <v>4.0525000000000002</v>
      </c>
    </row>
    <row r="419" spans="2:7" x14ac:dyDescent="0.25">
      <c r="B419" s="215"/>
      <c r="C419" s="25"/>
      <c r="D419" s="25"/>
      <c r="E419" s="53"/>
      <c r="F419" s="39" t="s">
        <v>183</v>
      </c>
      <c r="G419" s="40">
        <f>SUM(G417:G418)</f>
        <v>11.6195</v>
      </c>
    </row>
    <row r="420" spans="2:7" x14ac:dyDescent="0.25">
      <c r="B420" s="358" t="s">
        <v>182</v>
      </c>
      <c r="C420" s="359"/>
      <c r="D420" s="216"/>
      <c r="E420" s="26"/>
      <c r="F420" s="36"/>
      <c r="G420" s="37"/>
    </row>
    <row r="421" spans="2:7" x14ac:dyDescent="0.25">
      <c r="B421" s="50">
        <v>7348</v>
      </c>
      <c r="C421" s="54" t="s">
        <v>433</v>
      </c>
      <c r="D421" s="116" t="s">
        <v>213</v>
      </c>
      <c r="E421" s="71">
        <v>0.17</v>
      </c>
      <c r="F421" s="42">
        <v>12</v>
      </c>
      <c r="G421" s="37">
        <f>E421*F421</f>
        <v>2.04</v>
      </c>
    </row>
    <row r="422" spans="2:7" x14ac:dyDescent="0.25">
      <c r="B422" s="215"/>
      <c r="C422" s="25"/>
      <c r="D422" s="25"/>
      <c r="E422" s="26"/>
      <c r="F422" s="27" t="s">
        <v>179</v>
      </c>
      <c r="G422" s="40">
        <f>SUM(G421:G421)</f>
        <v>2.04</v>
      </c>
    </row>
    <row r="423" spans="2:7" ht="15.75" thickBot="1" x14ac:dyDescent="0.3">
      <c r="B423" s="215"/>
      <c r="C423" s="17"/>
      <c r="D423" s="25"/>
      <c r="E423" s="26"/>
      <c r="F423" s="16"/>
      <c r="G423" s="43"/>
    </row>
    <row r="424" spans="2:7" ht="15.75" thickBot="1" x14ac:dyDescent="0.3">
      <c r="B424" s="44" t="s">
        <v>240</v>
      </c>
      <c r="C424" s="45" t="s">
        <v>301</v>
      </c>
      <c r="D424" s="46"/>
      <c r="E424" s="47"/>
      <c r="F424" s="16" t="s">
        <v>178</v>
      </c>
      <c r="G424" s="113">
        <f>G419+G422</f>
        <v>13.659500000000001</v>
      </c>
    </row>
    <row r="425" spans="2:7" x14ac:dyDescent="0.25">
      <c r="B425" s="30" t="s">
        <v>144</v>
      </c>
      <c r="C425" s="51" t="s">
        <v>255</v>
      </c>
      <c r="D425" s="32"/>
      <c r="E425" s="69" t="s">
        <v>302</v>
      </c>
      <c r="F425" s="33" t="s">
        <v>192</v>
      </c>
      <c r="G425" s="34" t="s">
        <v>203</v>
      </c>
    </row>
    <row r="426" spans="2:7" x14ac:dyDescent="0.25">
      <c r="B426" s="35" t="s">
        <v>0</v>
      </c>
      <c r="C426" s="20" t="s">
        <v>1</v>
      </c>
      <c r="D426" s="20" t="s">
        <v>190</v>
      </c>
      <c r="E426" s="59" t="s">
        <v>189</v>
      </c>
      <c r="F426" s="18" t="s">
        <v>188</v>
      </c>
      <c r="G426" s="64" t="s">
        <v>187</v>
      </c>
    </row>
    <row r="427" spans="2:7" x14ac:dyDescent="0.25">
      <c r="B427" s="358" t="s">
        <v>186</v>
      </c>
      <c r="C427" s="359"/>
      <c r="D427" s="216"/>
      <c r="E427" s="26"/>
      <c r="F427" s="36"/>
      <c r="G427" s="37"/>
    </row>
    <row r="428" spans="2:7" x14ac:dyDescent="0.25">
      <c r="B428" s="50">
        <v>88310</v>
      </c>
      <c r="C428" s="17" t="s">
        <v>429</v>
      </c>
      <c r="D428" s="216" t="s">
        <v>184</v>
      </c>
      <c r="E428" s="54">
        <v>0.188</v>
      </c>
      <c r="F428" s="27">
        <v>21.62</v>
      </c>
      <c r="G428" s="37">
        <f>E428*F428</f>
        <v>4.0645600000000002</v>
      </c>
    </row>
    <row r="429" spans="2:7" x14ac:dyDescent="0.25">
      <c r="B429" s="215">
        <v>88316</v>
      </c>
      <c r="C429" s="17" t="s">
        <v>201</v>
      </c>
      <c r="D429" s="216" t="s">
        <v>200</v>
      </c>
      <c r="E429" s="26">
        <v>6.9000000000000006E-2</v>
      </c>
      <c r="F429" s="27">
        <v>16.21</v>
      </c>
      <c r="G429" s="37">
        <f>E429*F429</f>
        <v>1.1184900000000002</v>
      </c>
    </row>
    <row r="430" spans="2:7" x14ac:dyDescent="0.25">
      <c r="B430" s="215"/>
      <c r="C430" s="25"/>
      <c r="D430" s="25"/>
      <c r="E430" s="53"/>
      <c r="F430" s="39" t="s">
        <v>183</v>
      </c>
      <c r="G430" s="40">
        <f>SUM(G428:G429)</f>
        <v>5.1830500000000006</v>
      </c>
    </row>
    <row r="431" spans="2:7" x14ac:dyDescent="0.25">
      <c r="B431" s="358" t="s">
        <v>182</v>
      </c>
      <c r="C431" s="359"/>
      <c r="D431" s="216"/>
      <c r="E431" s="26"/>
      <c r="F431" s="36"/>
      <c r="G431" s="37"/>
    </row>
    <row r="432" spans="2:7" x14ac:dyDescent="0.25">
      <c r="B432" s="50">
        <v>38877</v>
      </c>
      <c r="C432" s="54" t="s">
        <v>434</v>
      </c>
      <c r="D432" s="116" t="s">
        <v>2</v>
      </c>
      <c r="E432" s="71">
        <v>1.1399999999999999</v>
      </c>
      <c r="F432" s="42">
        <v>5.54</v>
      </c>
      <c r="G432" s="37">
        <f>E432*F432</f>
        <v>6.3155999999999999</v>
      </c>
    </row>
    <row r="433" spans="2:7" x14ac:dyDescent="0.25">
      <c r="B433" s="215"/>
      <c r="C433" s="25"/>
      <c r="D433" s="25"/>
      <c r="E433" s="26"/>
      <c r="F433" s="27" t="s">
        <v>179</v>
      </c>
      <c r="G433" s="40">
        <f>SUM(G432:G432)</f>
        <v>6.3155999999999999</v>
      </c>
    </row>
    <row r="434" spans="2:7" ht="15.75" thickBot="1" x14ac:dyDescent="0.3">
      <c r="B434" s="215"/>
      <c r="C434" s="17"/>
      <c r="D434" s="25"/>
      <c r="E434" s="26"/>
      <c r="F434" s="16"/>
      <c r="G434" s="43"/>
    </row>
    <row r="435" spans="2:7" ht="15.75" thickBot="1" x14ac:dyDescent="0.3">
      <c r="B435" s="44" t="s">
        <v>240</v>
      </c>
      <c r="C435" s="45" t="s">
        <v>302</v>
      </c>
      <c r="D435" s="46"/>
      <c r="E435" s="47"/>
      <c r="F435" s="16" t="s">
        <v>178</v>
      </c>
      <c r="G435" s="113">
        <f>G430+G433</f>
        <v>11.498650000000001</v>
      </c>
    </row>
    <row r="436" spans="2:7" ht="15.75" thickBot="1" x14ac:dyDescent="0.3">
      <c r="B436" s="23" t="s">
        <v>75</v>
      </c>
      <c r="C436" s="22" t="s">
        <v>71</v>
      </c>
      <c r="D436" s="21"/>
      <c r="E436" s="21"/>
      <c r="F436" s="21"/>
      <c r="G436" s="21"/>
    </row>
    <row r="437" spans="2:7" x14ac:dyDescent="0.25">
      <c r="B437" s="30" t="s">
        <v>145</v>
      </c>
      <c r="C437" s="51" t="s">
        <v>258</v>
      </c>
      <c r="D437" s="32"/>
      <c r="E437" s="69" t="s">
        <v>303</v>
      </c>
      <c r="F437" s="33" t="s">
        <v>192</v>
      </c>
      <c r="G437" s="34" t="s">
        <v>203</v>
      </c>
    </row>
    <row r="438" spans="2:7" x14ac:dyDescent="0.25">
      <c r="B438" s="35" t="s">
        <v>0</v>
      </c>
      <c r="C438" s="20" t="s">
        <v>1</v>
      </c>
      <c r="D438" s="20" t="s">
        <v>190</v>
      </c>
      <c r="E438" s="59" t="s">
        <v>189</v>
      </c>
      <c r="F438" s="18" t="s">
        <v>188</v>
      </c>
      <c r="G438" s="64" t="s">
        <v>187</v>
      </c>
    </row>
    <row r="439" spans="2:7" x14ac:dyDescent="0.25">
      <c r="B439" s="358" t="s">
        <v>186</v>
      </c>
      <c r="C439" s="359"/>
      <c r="D439" s="109"/>
      <c r="E439" s="26"/>
      <c r="F439" s="36"/>
      <c r="G439" s="37"/>
    </row>
    <row r="440" spans="2:7" x14ac:dyDescent="0.25">
      <c r="B440" s="50">
        <v>88310</v>
      </c>
      <c r="C440" s="17" t="s">
        <v>429</v>
      </c>
      <c r="D440" s="109" t="s">
        <v>184</v>
      </c>
      <c r="E440" s="54">
        <v>0.3</v>
      </c>
      <c r="F440" s="27">
        <v>21.62</v>
      </c>
      <c r="G440" s="37">
        <f>E440*F440</f>
        <v>6.4859999999999998</v>
      </c>
    </row>
    <row r="441" spans="2:7" x14ac:dyDescent="0.25">
      <c r="B441" s="108">
        <v>88316</v>
      </c>
      <c r="C441" s="17" t="s">
        <v>201</v>
      </c>
      <c r="D441" s="109" t="s">
        <v>200</v>
      </c>
      <c r="E441" s="26">
        <v>0.2</v>
      </c>
      <c r="F441" s="27">
        <v>16.21</v>
      </c>
      <c r="G441" s="37">
        <f>E441*F441</f>
        <v>3.2420000000000004</v>
      </c>
    </row>
    <row r="442" spans="2:7" x14ac:dyDescent="0.25">
      <c r="B442" s="108"/>
      <c r="C442" s="25"/>
      <c r="D442" s="25"/>
      <c r="E442" s="53"/>
      <c r="F442" s="39" t="s">
        <v>183</v>
      </c>
      <c r="G442" s="40">
        <f>SUM(G440:G441)</f>
        <v>9.7279999999999998</v>
      </c>
    </row>
    <row r="443" spans="2:7" x14ac:dyDescent="0.25">
      <c r="B443" s="358" t="s">
        <v>182</v>
      </c>
      <c r="C443" s="359"/>
      <c r="D443" s="109"/>
      <c r="E443" s="26"/>
      <c r="F443" s="36"/>
      <c r="G443" s="37"/>
    </row>
    <row r="444" spans="2:7" x14ac:dyDescent="0.25">
      <c r="B444" s="50">
        <v>7307</v>
      </c>
      <c r="C444" s="54" t="s">
        <v>435</v>
      </c>
      <c r="D444" s="116" t="s">
        <v>213</v>
      </c>
      <c r="E444" s="67">
        <v>0.12</v>
      </c>
      <c r="F444" s="42">
        <v>22.51</v>
      </c>
      <c r="G444" s="37">
        <f>E444*F444</f>
        <v>2.7012</v>
      </c>
    </row>
    <row r="445" spans="2:7" x14ac:dyDescent="0.25">
      <c r="B445" s="108"/>
      <c r="C445" s="25"/>
      <c r="D445" s="25"/>
      <c r="E445" s="26"/>
      <c r="F445" s="27" t="s">
        <v>179</v>
      </c>
      <c r="G445" s="40">
        <f>SUM(G444:G444)</f>
        <v>2.7012</v>
      </c>
    </row>
    <row r="446" spans="2:7" ht="15.75" thickBot="1" x14ac:dyDescent="0.3">
      <c r="B446" s="108"/>
      <c r="C446" s="17"/>
      <c r="D446" s="25"/>
      <c r="E446" s="26"/>
      <c r="F446" s="16"/>
      <c r="G446" s="43"/>
    </row>
    <row r="447" spans="2:7" ht="15.75" thickBot="1" x14ac:dyDescent="0.3">
      <c r="B447" s="44" t="s">
        <v>240</v>
      </c>
      <c r="C447" s="45" t="s">
        <v>303</v>
      </c>
      <c r="D447" s="46"/>
      <c r="E447" s="47"/>
      <c r="F447" s="16" t="s">
        <v>178</v>
      </c>
      <c r="G447" s="113">
        <f>G442+G445</f>
        <v>12.4292</v>
      </c>
    </row>
    <row r="448" spans="2:7" x14ac:dyDescent="0.25">
      <c r="B448" s="30" t="s">
        <v>146</v>
      </c>
      <c r="C448" s="51" t="s">
        <v>256</v>
      </c>
      <c r="D448" s="32"/>
      <c r="E448" s="69" t="s">
        <v>304</v>
      </c>
      <c r="F448" s="33" t="s">
        <v>192</v>
      </c>
      <c r="G448" s="34" t="s">
        <v>203</v>
      </c>
    </row>
    <row r="449" spans="2:7" x14ac:dyDescent="0.25">
      <c r="B449" s="35" t="s">
        <v>0</v>
      </c>
      <c r="C449" s="20" t="s">
        <v>1</v>
      </c>
      <c r="D449" s="20" t="s">
        <v>190</v>
      </c>
      <c r="E449" s="59" t="s">
        <v>189</v>
      </c>
      <c r="F449" s="18" t="s">
        <v>188</v>
      </c>
      <c r="G449" s="64" t="s">
        <v>187</v>
      </c>
    </row>
    <row r="450" spans="2:7" x14ac:dyDescent="0.25">
      <c r="B450" s="358" t="s">
        <v>186</v>
      </c>
      <c r="C450" s="359"/>
      <c r="D450" s="216"/>
      <c r="E450" s="26"/>
      <c r="F450" s="36"/>
      <c r="G450" s="37"/>
    </row>
    <row r="451" spans="2:7" x14ac:dyDescent="0.25">
      <c r="B451" s="50">
        <v>88310</v>
      </c>
      <c r="C451" s="17" t="s">
        <v>429</v>
      </c>
      <c r="D451" s="216" t="s">
        <v>184</v>
      </c>
      <c r="E451" s="54">
        <v>0.5</v>
      </c>
      <c r="F451" s="27">
        <v>21.62</v>
      </c>
      <c r="G451" s="37">
        <f>E451*F451</f>
        <v>10.81</v>
      </c>
    </row>
    <row r="452" spans="2:7" x14ac:dyDescent="0.25">
      <c r="B452" s="215">
        <v>88316</v>
      </c>
      <c r="C452" s="17" t="s">
        <v>201</v>
      </c>
      <c r="D452" s="216" t="s">
        <v>200</v>
      </c>
      <c r="E452" s="26">
        <v>0.5</v>
      </c>
      <c r="F452" s="27">
        <v>16.21</v>
      </c>
      <c r="G452" s="37">
        <f>E452*F452</f>
        <v>8.1050000000000004</v>
      </c>
    </row>
    <row r="453" spans="2:7" x14ac:dyDescent="0.25">
      <c r="B453" s="215"/>
      <c r="C453" s="25"/>
      <c r="D453" s="25"/>
      <c r="E453" s="53"/>
      <c r="F453" s="39" t="s">
        <v>183</v>
      </c>
      <c r="G453" s="40">
        <f>SUM(G451:G452)</f>
        <v>18.914999999999999</v>
      </c>
    </row>
    <row r="454" spans="2:7" x14ac:dyDescent="0.25">
      <c r="B454" s="358" t="s">
        <v>182</v>
      </c>
      <c r="C454" s="359"/>
      <c r="D454" s="216"/>
      <c r="E454" s="26"/>
      <c r="F454" s="36"/>
      <c r="G454" s="37"/>
    </row>
    <row r="455" spans="2:7" x14ac:dyDescent="0.25">
      <c r="B455" s="50">
        <v>3768</v>
      </c>
      <c r="C455" s="54" t="s">
        <v>436</v>
      </c>
      <c r="D455" s="116" t="s">
        <v>180</v>
      </c>
      <c r="E455" s="71">
        <v>0.6</v>
      </c>
      <c r="F455" s="42">
        <v>2.72</v>
      </c>
      <c r="G455" s="37">
        <f>E455*F455</f>
        <v>1.6320000000000001</v>
      </c>
    </row>
    <row r="456" spans="2:7" x14ac:dyDescent="0.25">
      <c r="B456" s="50">
        <v>5318</v>
      </c>
      <c r="C456" s="54" t="s">
        <v>437</v>
      </c>
      <c r="D456" s="116" t="s">
        <v>213</v>
      </c>
      <c r="E456" s="71">
        <v>7.0000000000000007E-2</v>
      </c>
      <c r="F456" s="42">
        <v>11.81</v>
      </c>
      <c r="G456" s="37">
        <f>E456*F456</f>
        <v>0.8267000000000001</v>
      </c>
    </row>
    <row r="457" spans="2:7" x14ac:dyDescent="0.25">
      <c r="B457" s="50">
        <v>7288</v>
      </c>
      <c r="C457" s="54" t="s">
        <v>438</v>
      </c>
      <c r="D457" s="116" t="s">
        <v>213</v>
      </c>
      <c r="E457" s="71">
        <v>0.16</v>
      </c>
      <c r="F457" s="42">
        <v>24.56</v>
      </c>
      <c r="G457" s="37">
        <f>E457*F457</f>
        <v>3.9295999999999998</v>
      </c>
    </row>
    <row r="458" spans="2:7" x14ac:dyDescent="0.25">
      <c r="B458" s="215"/>
      <c r="C458" s="25"/>
      <c r="D458" s="25"/>
      <c r="E458" s="26"/>
      <c r="F458" s="27" t="s">
        <v>179</v>
      </c>
      <c r="G458" s="40">
        <f>SUM(G455:G457)</f>
        <v>6.3883000000000001</v>
      </c>
    </row>
    <row r="459" spans="2:7" ht="15.75" thickBot="1" x14ac:dyDescent="0.3">
      <c r="B459" s="215"/>
      <c r="C459" s="17"/>
      <c r="D459" s="25"/>
      <c r="E459" s="26"/>
      <c r="F459" s="16"/>
      <c r="G459" s="43"/>
    </row>
    <row r="460" spans="2:7" ht="15.75" thickBot="1" x14ac:dyDescent="0.3">
      <c r="B460" s="44" t="s">
        <v>240</v>
      </c>
      <c r="C460" s="45" t="s">
        <v>304</v>
      </c>
      <c r="D460" s="46"/>
      <c r="E460" s="47"/>
      <c r="F460" s="16" t="s">
        <v>178</v>
      </c>
      <c r="G460" s="113">
        <f>G453+G458</f>
        <v>25.3033</v>
      </c>
    </row>
    <row r="461" spans="2:7" ht="15.75" thickBot="1" x14ac:dyDescent="0.3">
      <c r="B461" s="23" t="s">
        <v>88</v>
      </c>
      <c r="C461" s="22" t="s">
        <v>69</v>
      </c>
      <c r="D461" s="21"/>
      <c r="E461" s="21"/>
      <c r="F461" s="21"/>
      <c r="G461" s="21"/>
    </row>
    <row r="462" spans="2:7" x14ac:dyDescent="0.25">
      <c r="B462" s="30" t="s">
        <v>147</v>
      </c>
      <c r="C462" s="51" t="s">
        <v>441</v>
      </c>
      <c r="D462" s="32"/>
      <c r="E462" s="69" t="s">
        <v>193</v>
      </c>
      <c r="F462" s="33" t="s">
        <v>192</v>
      </c>
      <c r="G462" s="34" t="s">
        <v>214</v>
      </c>
    </row>
    <row r="463" spans="2:7" x14ac:dyDescent="0.25">
      <c r="B463" s="35" t="s">
        <v>0</v>
      </c>
      <c r="C463" s="20" t="s">
        <v>1</v>
      </c>
      <c r="D463" s="20" t="s">
        <v>190</v>
      </c>
      <c r="E463" s="59" t="s">
        <v>189</v>
      </c>
      <c r="F463" s="18" t="s">
        <v>188</v>
      </c>
      <c r="G463" s="64" t="s">
        <v>187</v>
      </c>
    </row>
    <row r="464" spans="2:7" x14ac:dyDescent="0.25">
      <c r="B464" s="358" t="s">
        <v>186</v>
      </c>
      <c r="C464" s="359"/>
      <c r="D464" s="216"/>
      <c r="E464" s="26"/>
      <c r="F464" s="36"/>
      <c r="G464" s="37"/>
    </row>
    <row r="465" spans="2:8" x14ac:dyDescent="0.25">
      <c r="B465" s="50">
        <v>88310</v>
      </c>
      <c r="C465" s="17" t="s">
        <v>429</v>
      </c>
      <c r="D465" s="216" t="s">
        <v>184</v>
      </c>
      <c r="E465" s="54">
        <f>0.1*2</f>
        <v>0.2</v>
      </c>
      <c r="F465" s="27">
        <v>21.62</v>
      </c>
      <c r="G465" s="37">
        <f>E465*F465</f>
        <v>4.3240000000000007</v>
      </c>
    </row>
    <row r="466" spans="2:8" x14ac:dyDescent="0.25">
      <c r="B466" s="215">
        <v>88316</v>
      </c>
      <c r="C466" s="17" t="s">
        <v>201</v>
      </c>
      <c r="D466" s="216" t="s">
        <v>200</v>
      </c>
      <c r="E466" s="26">
        <f>0.5*2</f>
        <v>1</v>
      </c>
      <c r="F466" s="27">
        <v>16.21</v>
      </c>
      <c r="G466" s="37">
        <f>E466*F466</f>
        <v>16.21</v>
      </c>
    </row>
    <row r="467" spans="2:8" x14ac:dyDescent="0.25">
      <c r="B467" s="215"/>
      <c r="C467" s="25"/>
      <c r="D467" s="25"/>
      <c r="E467" s="53"/>
      <c r="F467" s="39" t="s">
        <v>183</v>
      </c>
      <c r="G467" s="40">
        <f>SUM(G465:G466)</f>
        <v>20.534000000000002</v>
      </c>
    </row>
    <row r="468" spans="2:8" x14ac:dyDescent="0.25">
      <c r="B468" s="358" t="s">
        <v>182</v>
      </c>
      <c r="C468" s="359"/>
      <c r="D468" s="216"/>
      <c r="E468" s="26"/>
      <c r="F468" s="36"/>
      <c r="G468" s="37"/>
    </row>
    <row r="469" spans="2:8" ht="24" x14ac:dyDescent="0.25">
      <c r="B469" s="50">
        <v>12815</v>
      </c>
      <c r="C469" s="54" t="s">
        <v>440</v>
      </c>
      <c r="D469" s="116" t="s">
        <v>180</v>
      </c>
      <c r="E469" s="71">
        <f>0.02</f>
        <v>0.02</v>
      </c>
      <c r="F469" s="42">
        <v>5.95</v>
      </c>
      <c r="G469" s="37">
        <f>E469*F469</f>
        <v>0.11900000000000001</v>
      </c>
      <c r="H469" s="181" t="s">
        <v>873</v>
      </c>
    </row>
    <row r="470" spans="2:8" ht="24" x14ac:dyDescent="0.25">
      <c r="B470" s="50">
        <v>7304</v>
      </c>
      <c r="C470" s="54" t="s">
        <v>439</v>
      </c>
      <c r="D470" s="116" t="s">
        <v>213</v>
      </c>
      <c r="E470" s="71">
        <f>0.03*2</f>
        <v>0.06</v>
      </c>
      <c r="F470" s="42">
        <v>51.45</v>
      </c>
      <c r="G470" s="37">
        <f>E470*F470</f>
        <v>3.0870000000000002</v>
      </c>
      <c r="H470" s="181" t="s">
        <v>874</v>
      </c>
    </row>
    <row r="471" spans="2:8" x14ac:dyDescent="0.25">
      <c r="B471" s="215"/>
      <c r="C471" s="25"/>
      <c r="D471" s="25"/>
      <c r="E471" s="26"/>
      <c r="F471" s="27" t="s">
        <v>179</v>
      </c>
      <c r="G471" s="40">
        <f>SUM(G469:G470)</f>
        <v>3.2060000000000004</v>
      </c>
    </row>
    <row r="472" spans="2:8" ht="15.75" thickBot="1" x14ac:dyDescent="0.3">
      <c r="B472" s="215"/>
      <c r="C472" s="17"/>
      <c r="D472" s="25"/>
      <c r="E472" s="26"/>
      <c r="F472" s="16"/>
      <c r="G472" s="43"/>
    </row>
    <row r="473" spans="2:8" ht="15.75" thickBot="1" x14ac:dyDescent="0.3">
      <c r="B473" s="44" t="s">
        <v>240</v>
      </c>
      <c r="C473" s="45" t="s">
        <v>305</v>
      </c>
      <c r="D473" s="46"/>
      <c r="E473" s="47"/>
      <c r="F473" s="16" t="s">
        <v>178</v>
      </c>
      <c r="G473" s="113">
        <f>G467+G471</f>
        <v>23.740000000000002</v>
      </c>
    </row>
    <row r="474" spans="2:8" x14ac:dyDescent="0.25">
      <c r="B474" s="23" t="s">
        <v>23</v>
      </c>
      <c r="C474" s="22" t="s">
        <v>22</v>
      </c>
      <c r="D474" s="21"/>
      <c r="E474" s="21"/>
      <c r="F474" s="21"/>
      <c r="G474" s="21"/>
    </row>
    <row r="475" spans="2:8" x14ac:dyDescent="0.25">
      <c r="B475" s="23" t="s">
        <v>79</v>
      </c>
      <c r="C475" s="22" t="s">
        <v>442</v>
      </c>
      <c r="D475" s="21"/>
      <c r="E475" s="21"/>
      <c r="F475" s="21"/>
      <c r="G475" s="21"/>
    </row>
    <row r="476" spans="2:8" ht="15.75" thickBot="1" x14ac:dyDescent="0.3">
      <c r="B476" s="23" t="s">
        <v>148</v>
      </c>
      <c r="C476" s="22" t="s">
        <v>76</v>
      </c>
      <c r="D476" s="21"/>
      <c r="E476" s="21"/>
      <c r="F476" s="21"/>
      <c r="G476" s="21"/>
    </row>
    <row r="477" spans="2:8" ht="22.5" x14ac:dyDescent="0.25">
      <c r="B477" s="30" t="s">
        <v>443</v>
      </c>
      <c r="C477" s="51" t="s">
        <v>451</v>
      </c>
      <c r="D477" s="32"/>
      <c r="E477" s="69" t="s">
        <v>193</v>
      </c>
      <c r="F477" s="33" t="s">
        <v>192</v>
      </c>
      <c r="G477" s="34" t="s">
        <v>203</v>
      </c>
    </row>
    <row r="478" spans="2:8" x14ac:dyDescent="0.25">
      <c r="B478" s="35" t="s">
        <v>0</v>
      </c>
      <c r="C478" s="20" t="s">
        <v>1</v>
      </c>
      <c r="D478" s="20" t="s">
        <v>190</v>
      </c>
      <c r="E478" s="59" t="s">
        <v>189</v>
      </c>
      <c r="F478" s="18" t="s">
        <v>188</v>
      </c>
      <c r="G478" s="64" t="s">
        <v>187</v>
      </c>
    </row>
    <row r="479" spans="2:8" x14ac:dyDescent="0.25">
      <c r="B479" s="358" t="s">
        <v>186</v>
      </c>
      <c r="C479" s="359"/>
      <c r="D479" s="111"/>
      <c r="E479" s="26"/>
      <c r="F479" s="36"/>
      <c r="G479" s="37"/>
    </row>
    <row r="480" spans="2:8" x14ac:dyDescent="0.25">
      <c r="B480" s="50">
        <v>88316</v>
      </c>
      <c r="C480" s="17" t="s">
        <v>201</v>
      </c>
      <c r="D480" s="111" t="s">
        <v>184</v>
      </c>
      <c r="E480" s="190">
        <f>0.1028+0.141</f>
        <v>0.24379999999999999</v>
      </c>
      <c r="F480" s="27">
        <v>16.21</v>
      </c>
      <c r="G480" s="37">
        <f>E480*F480</f>
        <v>3.9519980000000001</v>
      </c>
    </row>
    <row r="481" spans="2:8" x14ac:dyDescent="0.25">
      <c r="B481" s="50">
        <v>88323</v>
      </c>
      <c r="C481" s="17" t="s">
        <v>444</v>
      </c>
      <c r="D481" s="111" t="s">
        <v>184</v>
      </c>
      <c r="E481" s="190">
        <f>0.0524+0.128</f>
        <v>0.1804</v>
      </c>
      <c r="F481" s="27">
        <v>19.02</v>
      </c>
      <c r="G481" s="37">
        <f>E481*F481</f>
        <v>3.4312079999999998</v>
      </c>
    </row>
    <row r="482" spans="2:8" x14ac:dyDescent="0.25">
      <c r="B482" s="110"/>
      <c r="C482" s="25"/>
      <c r="D482" s="25"/>
      <c r="E482" s="53"/>
      <c r="F482" s="39" t="s">
        <v>183</v>
      </c>
      <c r="G482" s="40">
        <f>SUM(G480:G481)</f>
        <v>7.3832059999999995</v>
      </c>
    </row>
    <row r="483" spans="2:8" x14ac:dyDescent="0.25">
      <c r="B483" s="358" t="s">
        <v>182</v>
      </c>
      <c r="C483" s="359"/>
      <c r="D483" s="111"/>
      <c r="E483" s="26"/>
      <c r="F483" s="36"/>
      <c r="G483" s="37"/>
    </row>
    <row r="484" spans="2:8" ht="22.5" x14ac:dyDescent="0.25">
      <c r="B484" s="50">
        <v>1607</v>
      </c>
      <c r="C484" s="54" t="s">
        <v>445</v>
      </c>
      <c r="D484" s="116" t="s">
        <v>207</v>
      </c>
      <c r="E484" s="71">
        <v>1.26</v>
      </c>
      <c r="F484" s="42">
        <v>0.13</v>
      </c>
      <c r="G484" s="37">
        <f>E484*F484</f>
        <v>0.1638</v>
      </c>
    </row>
    <row r="485" spans="2:8" ht="22.5" x14ac:dyDescent="0.25">
      <c r="B485" s="50">
        <v>4302</v>
      </c>
      <c r="C485" s="54" t="s">
        <v>446</v>
      </c>
      <c r="D485" s="116" t="s">
        <v>180</v>
      </c>
      <c r="E485" s="71">
        <v>1.26</v>
      </c>
      <c r="F485" s="42">
        <v>2.02</v>
      </c>
      <c r="G485" s="37">
        <f>E485*F485</f>
        <v>2.5451999999999999</v>
      </c>
    </row>
    <row r="486" spans="2:8" x14ac:dyDescent="0.25">
      <c r="B486" s="50">
        <v>7194</v>
      </c>
      <c r="C486" s="54" t="s">
        <v>447</v>
      </c>
      <c r="D486" s="116" t="s">
        <v>206</v>
      </c>
      <c r="E486" s="71">
        <v>1.357</v>
      </c>
      <c r="F486" s="42">
        <v>18.46</v>
      </c>
      <c r="G486" s="37">
        <f>E486*F486</f>
        <v>25.050219999999999</v>
      </c>
    </row>
    <row r="487" spans="2:8" ht="22.5" x14ac:dyDescent="0.25">
      <c r="B487" s="50">
        <v>93287</v>
      </c>
      <c r="C487" s="54" t="s">
        <v>448</v>
      </c>
      <c r="D487" s="116" t="s">
        <v>205</v>
      </c>
      <c r="E487" s="67">
        <f>0.0006+0.0018</f>
        <v>2.3999999999999998E-3</v>
      </c>
      <c r="F487" s="42">
        <v>300.39</v>
      </c>
      <c r="G487" s="37">
        <f>E487*F487</f>
        <v>0.72093599999999991</v>
      </c>
    </row>
    <row r="488" spans="2:8" ht="22.5" x14ac:dyDescent="0.25">
      <c r="B488" s="50">
        <v>93288</v>
      </c>
      <c r="C488" s="54" t="s">
        <v>449</v>
      </c>
      <c r="D488" s="116" t="s">
        <v>204</v>
      </c>
      <c r="E488" s="67">
        <f>0.0031+0.0026</f>
        <v>5.7000000000000002E-3</v>
      </c>
      <c r="F488" s="42">
        <v>89.85</v>
      </c>
      <c r="G488" s="37">
        <f>E488*F488</f>
        <v>0.51214499999999996</v>
      </c>
    </row>
    <row r="489" spans="2:8" x14ac:dyDescent="0.25">
      <c r="B489" s="110"/>
      <c r="C489" s="25"/>
      <c r="D489" s="25"/>
      <c r="E489" s="26"/>
      <c r="F489" s="27" t="s">
        <v>179</v>
      </c>
      <c r="G489" s="40">
        <f>SUM(G484:G488)</f>
        <v>28.992300999999998</v>
      </c>
    </row>
    <row r="490" spans="2:8" ht="15.75" thickBot="1" x14ac:dyDescent="0.3">
      <c r="B490" s="110"/>
      <c r="C490" s="17"/>
      <c r="D490" s="25"/>
      <c r="E490" s="26"/>
      <c r="F490" s="16"/>
      <c r="G490" s="43"/>
    </row>
    <row r="491" spans="2:8" ht="15.75" thickBot="1" x14ac:dyDescent="0.3">
      <c r="B491" s="44" t="s">
        <v>240</v>
      </c>
      <c r="C491" s="45" t="s">
        <v>883</v>
      </c>
      <c r="D491" s="46"/>
      <c r="E491" s="47"/>
      <c r="F491" s="16" t="s">
        <v>178</v>
      </c>
      <c r="G491" s="113">
        <f>G482+G489</f>
        <v>36.375506999999999</v>
      </c>
    </row>
    <row r="492" spans="2:8" ht="22.5" x14ac:dyDescent="0.25">
      <c r="B492" s="30" t="s">
        <v>450</v>
      </c>
      <c r="C492" s="51" t="s">
        <v>875</v>
      </c>
      <c r="D492" s="32"/>
      <c r="E492" s="69" t="s">
        <v>306</v>
      </c>
      <c r="F492" s="33" t="s">
        <v>192</v>
      </c>
      <c r="G492" s="34" t="s">
        <v>214</v>
      </c>
    </row>
    <row r="493" spans="2:8" x14ac:dyDescent="0.25">
      <c r="B493" s="35" t="s">
        <v>0</v>
      </c>
      <c r="C493" s="20" t="s">
        <v>1</v>
      </c>
      <c r="D493" s="20" t="s">
        <v>190</v>
      </c>
      <c r="E493" s="59" t="s">
        <v>189</v>
      </c>
      <c r="F493" s="18" t="s">
        <v>188</v>
      </c>
      <c r="G493" s="64" t="s">
        <v>187</v>
      </c>
    </row>
    <row r="494" spans="2:8" x14ac:dyDescent="0.25">
      <c r="B494" s="358" t="s">
        <v>186</v>
      </c>
      <c r="C494" s="359"/>
      <c r="D494" s="216"/>
      <c r="E494" s="26"/>
      <c r="F494" s="36"/>
      <c r="G494" s="37"/>
    </row>
    <row r="495" spans="2:8" ht="36" x14ac:dyDescent="0.25">
      <c r="B495" s="50">
        <v>88316</v>
      </c>
      <c r="C495" s="17" t="s">
        <v>201</v>
      </c>
      <c r="D495" s="216" t="s">
        <v>184</v>
      </c>
      <c r="E495" s="118">
        <f>0.1028*0.2+0.101</f>
        <v>0.12156</v>
      </c>
      <c r="F495" s="27">
        <v>16.21</v>
      </c>
      <c r="G495" s="37">
        <f>E495*F495</f>
        <v>1.9704876000000002</v>
      </c>
      <c r="H495" s="181" t="s">
        <v>885</v>
      </c>
    </row>
    <row r="496" spans="2:8" x14ac:dyDescent="0.25">
      <c r="B496" s="50">
        <v>88323</v>
      </c>
      <c r="C496" s="17" t="s">
        <v>444</v>
      </c>
      <c r="D496" s="216" t="s">
        <v>184</v>
      </c>
      <c r="E496" s="118">
        <f>0.0524*0.2+0.095</f>
        <v>0.10548</v>
      </c>
      <c r="F496" s="27">
        <v>19.02</v>
      </c>
      <c r="G496" s="37">
        <f>E496*F496</f>
        <v>2.0062296000000002</v>
      </c>
    </row>
    <row r="497" spans="2:8" x14ac:dyDescent="0.25">
      <c r="B497" s="215"/>
      <c r="C497" s="25"/>
      <c r="D497" s="25"/>
      <c r="E497" s="53"/>
      <c r="F497" s="39" t="s">
        <v>183</v>
      </c>
      <c r="G497" s="40">
        <f>SUM(G495:G496)</f>
        <v>3.9767172000000004</v>
      </c>
    </row>
    <row r="498" spans="2:8" x14ac:dyDescent="0.25">
      <c r="B498" s="358" t="s">
        <v>182</v>
      </c>
      <c r="C498" s="359"/>
      <c r="D498" s="216"/>
      <c r="E498" s="26"/>
      <c r="F498" s="36"/>
      <c r="G498" s="37"/>
    </row>
    <row r="499" spans="2:8" ht="22.5" x14ac:dyDescent="0.25">
      <c r="B499" s="50">
        <v>1607</v>
      </c>
      <c r="C499" s="54" t="s">
        <v>445</v>
      </c>
      <c r="D499" s="116" t="s">
        <v>207</v>
      </c>
      <c r="E499" s="71">
        <v>4.2</v>
      </c>
      <c r="F499" s="42">
        <v>0.13</v>
      </c>
      <c r="G499" s="37">
        <f>E499*F499</f>
        <v>0.54600000000000004</v>
      </c>
    </row>
    <row r="500" spans="2:8" ht="22.5" x14ac:dyDescent="0.25">
      <c r="B500" s="50">
        <v>4302</v>
      </c>
      <c r="C500" s="54" t="s">
        <v>446</v>
      </c>
      <c r="D500" s="116" t="s">
        <v>180</v>
      </c>
      <c r="E500" s="71">
        <v>4.2</v>
      </c>
      <c r="F500" s="42">
        <v>2.02</v>
      </c>
      <c r="G500" s="37">
        <f>E500*F500</f>
        <v>8.484</v>
      </c>
    </row>
    <row r="501" spans="2:8" ht="22.5" x14ac:dyDescent="0.25">
      <c r="B501" s="50">
        <v>7219</v>
      </c>
      <c r="C501" s="54" t="s">
        <v>452</v>
      </c>
      <c r="D501" s="116" t="s">
        <v>180</v>
      </c>
      <c r="E501" s="71">
        <v>1.0289999999999999</v>
      </c>
      <c r="F501" s="42">
        <v>26.23</v>
      </c>
      <c r="G501" s="37">
        <f>E501*F501</f>
        <v>26.990669999999998</v>
      </c>
    </row>
    <row r="502" spans="2:8" ht="36" x14ac:dyDescent="0.25">
      <c r="B502" s="50">
        <v>93287</v>
      </c>
      <c r="C502" s="54" t="s">
        <v>448</v>
      </c>
      <c r="D502" s="116" t="s">
        <v>205</v>
      </c>
      <c r="E502" s="67">
        <f>0.0006*0.2+0.0009</f>
        <v>1.0200000000000001E-3</v>
      </c>
      <c r="F502" s="42">
        <v>300.39</v>
      </c>
      <c r="G502" s="37">
        <f>E502*F502</f>
        <v>0.3063978</v>
      </c>
      <c r="H502" s="181" t="s">
        <v>886</v>
      </c>
    </row>
    <row r="503" spans="2:8" ht="22.5" x14ac:dyDescent="0.25">
      <c r="B503" s="50">
        <v>93288</v>
      </c>
      <c r="C503" s="54" t="s">
        <v>449</v>
      </c>
      <c r="D503" s="116" t="s">
        <v>204</v>
      </c>
      <c r="E503" s="67">
        <f>0.0031*0.2+0.0012</f>
        <v>1.82E-3</v>
      </c>
      <c r="F503" s="42">
        <v>89.85</v>
      </c>
      <c r="G503" s="37">
        <f>E503*F503</f>
        <v>0.16352699999999998</v>
      </c>
    </row>
    <row r="504" spans="2:8" x14ac:dyDescent="0.25">
      <c r="B504" s="215"/>
      <c r="C504" s="25"/>
      <c r="D504" s="25"/>
      <c r="E504" s="26"/>
      <c r="F504" s="27" t="s">
        <v>179</v>
      </c>
      <c r="G504" s="40">
        <f>SUM(G499:G503)</f>
        <v>36.490594799999997</v>
      </c>
    </row>
    <row r="505" spans="2:8" ht="15.75" thickBot="1" x14ac:dyDescent="0.3">
      <c r="B505" s="215"/>
      <c r="C505" s="17"/>
      <c r="D505" s="25"/>
      <c r="E505" s="26"/>
      <c r="F505" s="16"/>
      <c r="G505" s="43"/>
    </row>
    <row r="506" spans="2:8" ht="15.75" thickBot="1" x14ac:dyDescent="0.3">
      <c r="B506" s="44" t="s">
        <v>240</v>
      </c>
      <c r="C506" s="45" t="s">
        <v>884</v>
      </c>
      <c r="D506" s="46"/>
      <c r="E506" s="47"/>
      <c r="F506" s="16" t="s">
        <v>178</v>
      </c>
      <c r="G506" s="113">
        <f>G497+G504</f>
        <v>40.467312</v>
      </c>
    </row>
    <row r="507" spans="2:8" x14ac:dyDescent="0.25">
      <c r="B507" s="23" t="s">
        <v>24</v>
      </c>
      <c r="C507" s="22" t="s">
        <v>292</v>
      </c>
      <c r="D507" s="21"/>
      <c r="E507" s="21"/>
      <c r="F507" s="21"/>
      <c r="G507" s="21"/>
    </row>
    <row r="508" spans="2:8" x14ac:dyDescent="0.25">
      <c r="B508" s="23" t="s">
        <v>80</v>
      </c>
      <c r="C508" s="22" t="s">
        <v>43</v>
      </c>
      <c r="D508" s="21"/>
      <c r="E508" s="21"/>
      <c r="F508" s="21"/>
      <c r="G508" s="21"/>
    </row>
    <row r="509" spans="2:8" x14ac:dyDescent="0.25">
      <c r="B509" s="23" t="s">
        <v>81</v>
      </c>
      <c r="C509" s="22" t="s">
        <v>77</v>
      </c>
      <c r="D509" s="21"/>
      <c r="E509" s="21"/>
      <c r="F509" s="21"/>
      <c r="G509" s="21"/>
    </row>
    <row r="510" spans="2:8" ht="15.75" thickBot="1" x14ac:dyDescent="0.3">
      <c r="B510" s="23" t="s">
        <v>89</v>
      </c>
      <c r="C510" s="22" t="s">
        <v>307</v>
      </c>
      <c r="D510" s="21"/>
      <c r="E510" s="21"/>
      <c r="F510" s="21"/>
      <c r="G510" s="21"/>
    </row>
    <row r="511" spans="2:8" ht="22.5" x14ac:dyDescent="0.25">
      <c r="B511" s="30" t="s">
        <v>149</v>
      </c>
      <c r="C511" s="51" t="s">
        <v>783</v>
      </c>
      <c r="D511" s="32"/>
      <c r="E511" s="69" t="s">
        <v>784</v>
      </c>
      <c r="F511" s="33" t="s">
        <v>192</v>
      </c>
      <c r="G511" s="34" t="s">
        <v>214</v>
      </c>
    </row>
    <row r="512" spans="2:8" x14ac:dyDescent="0.25">
      <c r="B512" s="35" t="s">
        <v>0</v>
      </c>
      <c r="C512" s="20" t="s">
        <v>1</v>
      </c>
      <c r="D512" s="20" t="s">
        <v>190</v>
      </c>
      <c r="E512" s="59" t="s">
        <v>189</v>
      </c>
      <c r="F512" s="18" t="s">
        <v>188</v>
      </c>
      <c r="G512" s="64" t="s">
        <v>187</v>
      </c>
    </row>
    <row r="513" spans="1:8" x14ac:dyDescent="0.25">
      <c r="B513" s="358" t="s">
        <v>186</v>
      </c>
      <c r="C513" s="359"/>
      <c r="D513" s="216"/>
      <c r="E513" s="26"/>
      <c r="F513" s="36"/>
      <c r="G513" s="37"/>
    </row>
    <row r="514" spans="1:8" s="137" customFormat="1" x14ac:dyDescent="0.25">
      <c r="A514" s="161"/>
      <c r="B514" s="215">
        <v>88278</v>
      </c>
      <c r="C514" s="17" t="s">
        <v>224</v>
      </c>
      <c r="D514" s="216" t="s">
        <v>200</v>
      </c>
      <c r="E514" s="26">
        <v>0.4</v>
      </c>
      <c r="F514" s="27">
        <v>14.07</v>
      </c>
      <c r="G514" s="37">
        <f>E514*F514</f>
        <v>5.6280000000000001</v>
      </c>
      <c r="H514" s="180"/>
    </row>
    <row r="515" spans="1:8" s="137" customFormat="1" x14ac:dyDescent="0.25">
      <c r="A515" s="161"/>
      <c r="B515" s="50">
        <v>88316</v>
      </c>
      <c r="C515" s="17" t="s">
        <v>201</v>
      </c>
      <c r="D515" s="216" t="s">
        <v>184</v>
      </c>
      <c r="E515" s="54">
        <v>0.15</v>
      </c>
      <c r="F515" s="27">
        <v>16.21</v>
      </c>
      <c r="G515" s="37">
        <f>E515*F515</f>
        <v>2.4315000000000002</v>
      </c>
      <c r="H515" s="180"/>
    </row>
    <row r="516" spans="1:8" x14ac:dyDescent="0.25">
      <c r="B516" s="215"/>
      <c r="C516" s="25"/>
      <c r="D516" s="25"/>
      <c r="E516" s="68"/>
      <c r="F516" s="39" t="s">
        <v>183</v>
      </c>
      <c r="G516" s="40">
        <f>SUM(G514:G515)</f>
        <v>8.0594999999999999</v>
      </c>
    </row>
    <row r="517" spans="1:8" x14ac:dyDescent="0.25">
      <c r="B517" s="358" t="s">
        <v>182</v>
      </c>
      <c r="C517" s="359"/>
      <c r="D517" s="216"/>
      <c r="E517" s="54"/>
      <c r="F517" s="36"/>
      <c r="G517" s="37"/>
    </row>
    <row r="518" spans="1:8" x14ac:dyDescent="0.25">
      <c r="A518" s="240"/>
      <c r="B518" s="50" t="str">
        <f>'MAPA COTAÇÃO'!B68</f>
        <v>COT-13</v>
      </c>
      <c r="C518" s="55" t="str">
        <f>'MAPA COTAÇÃO'!B73</f>
        <v>SELANTE DE SILICONE DOW CORNING ESTRUTURAL  995 - 300ML</v>
      </c>
      <c r="D518" s="216" t="str">
        <f>'MAPA COTAÇÃO'!D73</f>
        <v>UNID</v>
      </c>
      <c r="E518" s="54">
        <v>0.3333333</v>
      </c>
      <c r="F518" s="42">
        <f>'MAPA COTAÇÃO'!J73</f>
        <v>40.5</v>
      </c>
      <c r="G518" s="37">
        <f>TRUNC(E518*F518,2)</f>
        <v>13.49</v>
      </c>
    </row>
    <row r="519" spans="1:8" x14ac:dyDescent="0.25">
      <c r="B519" s="215"/>
      <c r="C519" s="25"/>
      <c r="D519" s="25"/>
      <c r="E519" s="26"/>
      <c r="F519" s="27" t="s">
        <v>179</v>
      </c>
      <c r="G519" s="40">
        <f>SUM(G518:G518)</f>
        <v>13.49</v>
      </c>
    </row>
    <row r="520" spans="1:8" ht="15.75" thickBot="1" x14ac:dyDescent="0.3">
      <c r="B520" s="215"/>
      <c r="C520" s="17" t="s">
        <v>682</v>
      </c>
      <c r="D520" s="25"/>
      <c r="E520" s="26"/>
      <c r="F520" s="16"/>
      <c r="G520" s="43"/>
    </row>
    <row r="521" spans="1:8" ht="15.75" thickBot="1" x14ac:dyDescent="0.3">
      <c r="B521" s="44" t="s">
        <v>240</v>
      </c>
      <c r="C521" s="45" t="s">
        <v>784</v>
      </c>
      <c r="D521" s="46"/>
      <c r="E521" s="47"/>
      <c r="F521" s="16" t="s">
        <v>178</v>
      </c>
      <c r="G521" s="113">
        <f>G516+G519</f>
        <v>21.549500000000002</v>
      </c>
    </row>
    <row r="522" spans="1:8" ht="22.5" x14ac:dyDescent="0.25">
      <c r="B522" s="30" t="s">
        <v>318</v>
      </c>
      <c r="C522" s="51" t="s">
        <v>453</v>
      </c>
      <c r="D522" s="32"/>
      <c r="E522" s="69" t="s">
        <v>784</v>
      </c>
      <c r="F522" s="33" t="s">
        <v>192</v>
      </c>
      <c r="G522" s="34" t="s">
        <v>191</v>
      </c>
    </row>
    <row r="523" spans="1:8" x14ac:dyDescent="0.25">
      <c r="B523" s="35" t="s">
        <v>0</v>
      </c>
      <c r="C523" s="20" t="s">
        <v>1</v>
      </c>
      <c r="D523" s="20" t="s">
        <v>190</v>
      </c>
      <c r="E523" s="59" t="s">
        <v>189</v>
      </c>
      <c r="F523" s="18" t="s">
        <v>188</v>
      </c>
      <c r="G523" s="64" t="s">
        <v>187</v>
      </c>
    </row>
    <row r="524" spans="1:8" x14ac:dyDescent="0.25">
      <c r="B524" s="358" t="s">
        <v>186</v>
      </c>
      <c r="C524" s="359"/>
      <c r="D524" s="216"/>
      <c r="E524" s="26"/>
      <c r="F524" s="36"/>
      <c r="G524" s="37"/>
    </row>
    <row r="525" spans="1:8" x14ac:dyDescent="0.25">
      <c r="B525" s="215">
        <v>88278</v>
      </c>
      <c r="C525" s="17" t="s">
        <v>224</v>
      </c>
      <c r="D525" s="216" t="s">
        <v>200</v>
      </c>
      <c r="E525" s="26">
        <v>0.7</v>
      </c>
      <c r="F525" s="27">
        <v>14.07</v>
      </c>
      <c r="G525" s="37">
        <f>E525*F525</f>
        <v>9.8490000000000002</v>
      </c>
    </row>
    <row r="526" spans="1:8" s="137" customFormat="1" x14ac:dyDescent="0.25">
      <c r="A526" s="161"/>
      <c r="B526" s="50">
        <v>88316</v>
      </c>
      <c r="C526" s="17" t="s">
        <v>201</v>
      </c>
      <c r="D526" s="216" t="s">
        <v>184</v>
      </c>
      <c r="E526" s="54">
        <v>0.7</v>
      </c>
      <c r="F526" s="27">
        <v>16.21</v>
      </c>
      <c r="G526" s="37">
        <f>E526*F526</f>
        <v>11.347</v>
      </c>
      <c r="H526" s="180"/>
    </row>
    <row r="527" spans="1:8" x14ac:dyDescent="0.25">
      <c r="B527" s="215"/>
      <c r="C527" s="25"/>
      <c r="D527" s="25"/>
      <c r="E527" s="68"/>
      <c r="F527" s="39" t="s">
        <v>183</v>
      </c>
      <c r="G527" s="40">
        <f>SUM(G525:G526)</f>
        <v>21.195999999999998</v>
      </c>
    </row>
    <row r="528" spans="1:8" x14ac:dyDescent="0.25">
      <c r="B528" s="358" t="s">
        <v>182</v>
      </c>
      <c r="C528" s="359"/>
      <c r="D528" s="216"/>
      <c r="E528" s="54"/>
      <c r="F528" s="36"/>
      <c r="G528" s="37"/>
    </row>
    <row r="529" spans="1:7" x14ac:dyDescent="0.25">
      <c r="A529" s="240"/>
      <c r="B529" s="215" t="str">
        <f>'MAPA COTAÇÃO'!B75</f>
        <v>COT-14</v>
      </c>
      <c r="C529" s="55" t="str">
        <f>'MAPA COTAÇÃO'!B80</f>
        <v xml:space="preserve">FECHO PARA JANELA DE ALUMINIO MAXIM AR </v>
      </c>
      <c r="D529" s="216" t="str">
        <f>'MAPA COTAÇÃO'!D80</f>
        <v>UNID</v>
      </c>
      <c r="E529" s="54">
        <v>1</v>
      </c>
      <c r="F529" s="42">
        <f>'MAPA COTAÇÃO'!J80</f>
        <v>21.9</v>
      </c>
      <c r="G529" s="37">
        <f>TRUNC(E529*F529,2)</f>
        <v>21.9</v>
      </c>
    </row>
    <row r="530" spans="1:7" x14ac:dyDescent="0.25">
      <c r="B530" s="215"/>
      <c r="C530" s="25"/>
      <c r="D530" s="25"/>
      <c r="E530" s="26"/>
      <c r="F530" s="27" t="s">
        <v>179</v>
      </c>
      <c r="G530" s="40">
        <f>SUM(G529:G529)</f>
        <v>21.9</v>
      </c>
    </row>
    <row r="531" spans="1:7" ht="15.75" thickBot="1" x14ac:dyDescent="0.3">
      <c r="B531" s="215"/>
      <c r="C531" s="17" t="s">
        <v>682</v>
      </c>
      <c r="D531" s="25"/>
      <c r="E531" s="26"/>
      <c r="F531" s="16"/>
      <c r="G531" s="43"/>
    </row>
    <row r="532" spans="1:7" ht="15.75" thickBot="1" x14ac:dyDescent="0.3">
      <c r="B532" s="44" t="s">
        <v>240</v>
      </c>
      <c r="C532" s="45" t="s">
        <v>784</v>
      </c>
      <c r="D532" s="46"/>
      <c r="E532" s="47"/>
      <c r="F532" s="16" t="s">
        <v>178</v>
      </c>
      <c r="G532" s="113">
        <f>G527+G530</f>
        <v>43.095999999999997</v>
      </c>
    </row>
    <row r="533" spans="1:7" ht="15.75" thickBot="1" x14ac:dyDescent="0.3">
      <c r="B533" s="23" t="s">
        <v>82</v>
      </c>
      <c r="C533" s="22" t="s">
        <v>78</v>
      </c>
      <c r="D533" s="21"/>
      <c r="E533" s="21"/>
      <c r="F533" s="21"/>
      <c r="G533" s="21"/>
    </row>
    <row r="534" spans="1:7" x14ac:dyDescent="0.25">
      <c r="B534" s="30" t="s">
        <v>150</v>
      </c>
      <c r="C534" s="51" t="s">
        <v>454</v>
      </c>
      <c r="D534" s="32"/>
      <c r="E534" s="69" t="s">
        <v>193</v>
      </c>
      <c r="F534" s="33" t="s">
        <v>192</v>
      </c>
      <c r="G534" s="34" t="s">
        <v>203</v>
      </c>
    </row>
    <row r="535" spans="1:7" x14ac:dyDescent="0.25">
      <c r="B535" s="35" t="s">
        <v>0</v>
      </c>
      <c r="C535" s="20" t="s">
        <v>1</v>
      </c>
      <c r="D535" s="20" t="s">
        <v>190</v>
      </c>
      <c r="E535" s="59" t="s">
        <v>189</v>
      </c>
      <c r="F535" s="18" t="s">
        <v>188</v>
      </c>
      <c r="G535" s="64" t="s">
        <v>187</v>
      </c>
    </row>
    <row r="536" spans="1:7" x14ac:dyDescent="0.25">
      <c r="B536" s="358" t="s">
        <v>186</v>
      </c>
      <c r="C536" s="359"/>
      <c r="D536" s="216"/>
      <c r="E536" s="26"/>
      <c r="F536" s="36"/>
      <c r="G536" s="37"/>
    </row>
    <row r="537" spans="1:7" x14ac:dyDescent="0.25">
      <c r="B537" s="50">
        <v>88316</v>
      </c>
      <c r="C537" s="17" t="s">
        <v>201</v>
      </c>
      <c r="D537" s="216" t="s">
        <v>184</v>
      </c>
      <c r="E537" s="54">
        <f>0.2+0.2</f>
        <v>0.4</v>
      </c>
      <c r="F537" s="27">
        <v>16.21</v>
      </c>
      <c r="G537" s="37">
        <f>E537*F537</f>
        <v>6.4840000000000009</v>
      </c>
    </row>
    <row r="538" spans="1:7" x14ac:dyDescent="0.25">
      <c r="B538" s="50">
        <v>88325</v>
      </c>
      <c r="C538" s="17" t="s">
        <v>455</v>
      </c>
      <c r="D538" s="216" t="s">
        <v>184</v>
      </c>
      <c r="E538" s="54">
        <f>0.5+1</f>
        <v>1.5</v>
      </c>
      <c r="F538" s="27">
        <v>19</v>
      </c>
      <c r="G538" s="37">
        <f>E538*F538</f>
        <v>28.5</v>
      </c>
    </row>
    <row r="539" spans="1:7" x14ac:dyDescent="0.25">
      <c r="B539" s="215"/>
      <c r="C539" s="25"/>
      <c r="D539" s="25"/>
      <c r="E539" s="68"/>
      <c r="F539" s="39" t="s">
        <v>183</v>
      </c>
      <c r="G539" s="40">
        <f>SUM(G537:G538)</f>
        <v>34.984000000000002</v>
      </c>
    </row>
    <row r="540" spans="1:7" x14ac:dyDescent="0.25">
      <c r="B540" s="358" t="s">
        <v>182</v>
      </c>
      <c r="C540" s="359"/>
      <c r="D540" s="216"/>
      <c r="E540" s="54"/>
      <c r="F540" s="36"/>
      <c r="G540" s="37"/>
    </row>
    <row r="541" spans="1:7" x14ac:dyDescent="0.25">
      <c r="B541" s="119">
        <v>10491</v>
      </c>
      <c r="C541" s="55" t="s">
        <v>456</v>
      </c>
      <c r="D541" s="218" t="s">
        <v>206</v>
      </c>
      <c r="E541" s="71">
        <v>1</v>
      </c>
      <c r="F541" s="42">
        <v>90.66</v>
      </c>
      <c r="G541" s="37">
        <f>TRUNC(E541*F541,2)</f>
        <v>90.66</v>
      </c>
    </row>
    <row r="542" spans="1:7" x14ac:dyDescent="0.25">
      <c r="B542" s="119">
        <v>10498</v>
      </c>
      <c r="C542" s="55" t="s">
        <v>457</v>
      </c>
      <c r="D542" s="218" t="s">
        <v>2</v>
      </c>
      <c r="E542" s="71">
        <v>2</v>
      </c>
      <c r="F542" s="42">
        <v>4.0599999999999996</v>
      </c>
      <c r="G542" s="37">
        <f>TRUNC(E542*F542,2)</f>
        <v>8.1199999999999992</v>
      </c>
    </row>
    <row r="543" spans="1:7" x14ac:dyDescent="0.25">
      <c r="B543" s="215"/>
      <c r="C543" s="25"/>
      <c r="D543" s="25"/>
      <c r="E543" s="26"/>
      <c r="F543" s="27" t="s">
        <v>179</v>
      </c>
      <c r="G543" s="40">
        <f>SUM(G541:G542)</f>
        <v>98.78</v>
      </c>
    </row>
    <row r="544" spans="1:7" ht="15.75" thickBot="1" x14ac:dyDescent="0.3">
      <c r="B544" s="215"/>
      <c r="C544" s="17"/>
      <c r="D544" s="25"/>
      <c r="E544" s="26"/>
      <c r="F544" s="16"/>
      <c r="G544" s="43"/>
    </row>
    <row r="545" spans="2:7" ht="15.75" thickBot="1" x14ac:dyDescent="0.3">
      <c r="B545" s="44" t="s">
        <v>240</v>
      </c>
      <c r="C545" s="45" t="s">
        <v>308</v>
      </c>
      <c r="D545" s="46"/>
      <c r="E545" s="47"/>
      <c r="F545" s="16" t="s">
        <v>178</v>
      </c>
      <c r="G545" s="113">
        <f>G539+G543</f>
        <v>133.76400000000001</v>
      </c>
    </row>
    <row r="546" spans="2:7" x14ac:dyDescent="0.25">
      <c r="B546" s="30" t="s">
        <v>151</v>
      </c>
      <c r="C546" s="51" t="s">
        <v>458</v>
      </c>
      <c r="D546" s="32"/>
      <c r="E546" s="69" t="s">
        <v>193</v>
      </c>
      <c r="F546" s="33" t="s">
        <v>192</v>
      </c>
      <c r="G546" s="34" t="s">
        <v>203</v>
      </c>
    </row>
    <row r="547" spans="2:7" x14ac:dyDescent="0.25">
      <c r="B547" s="35" t="s">
        <v>0</v>
      </c>
      <c r="C547" s="20" t="s">
        <v>1</v>
      </c>
      <c r="D547" s="20" t="s">
        <v>190</v>
      </c>
      <c r="E547" s="59" t="s">
        <v>189</v>
      </c>
      <c r="F547" s="18" t="s">
        <v>188</v>
      </c>
      <c r="G547" s="64" t="s">
        <v>187</v>
      </c>
    </row>
    <row r="548" spans="2:7" x14ac:dyDescent="0.25">
      <c r="B548" s="358" t="s">
        <v>186</v>
      </c>
      <c r="C548" s="359"/>
      <c r="D548" s="216"/>
      <c r="E548" s="26"/>
      <c r="F548" s="36"/>
      <c r="G548" s="37"/>
    </row>
    <row r="549" spans="2:7" x14ac:dyDescent="0.25">
      <c r="B549" s="50">
        <v>88316</v>
      </c>
      <c r="C549" s="17" t="s">
        <v>201</v>
      </c>
      <c r="D549" s="216" t="s">
        <v>184</v>
      </c>
      <c r="E549" s="54">
        <f>0.2+0.2</f>
        <v>0.4</v>
      </c>
      <c r="F549" s="27">
        <v>16.21</v>
      </c>
      <c r="G549" s="37">
        <f>E549*F549</f>
        <v>6.4840000000000009</v>
      </c>
    </row>
    <row r="550" spans="2:7" x14ac:dyDescent="0.25">
      <c r="B550" s="50">
        <v>88325</v>
      </c>
      <c r="C550" s="17" t="s">
        <v>455</v>
      </c>
      <c r="D550" s="216" t="s">
        <v>184</v>
      </c>
      <c r="E550" s="54">
        <f>0.5+1</f>
        <v>1.5</v>
      </c>
      <c r="F550" s="27">
        <v>19</v>
      </c>
      <c r="G550" s="37">
        <f>E550*F550</f>
        <v>28.5</v>
      </c>
    </row>
    <row r="551" spans="2:7" x14ac:dyDescent="0.25">
      <c r="B551" s="215"/>
      <c r="C551" s="25"/>
      <c r="D551" s="25"/>
      <c r="E551" s="68"/>
      <c r="F551" s="39" t="s">
        <v>183</v>
      </c>
      <c r="G551" s="40">
        <f>SUM(G549:G550)</f>
        <v>34.984000000000002</v>
      </c>
    </row>
    <row r="552" spans="2:7" x14ac:dyDescent="0.25">
      <c r="B552" s="358" t="s">
        <v>182</v>
      </c>
      <c r="C552" s="359"/>
      <c r="D552" s="216"/>
      <c r="E552" s="54"/>
      <c r="F552" s="36"/>
      <c r="G552" s="37"/>
    </row>
    <row r="553" spans="2:7" x14ac:dyDescent="0.25">
      <c r="B553" s="119">
        <v>10499</v>
      </c>
      <c r="C553" s="55" t="s">
        <v>459</v>
      </c>
      <c r="D553" s="218" t="s">
        <v>206</v>
      </c>
      <c r="E553" s="71">
        <v>1</v>
      </c>
      <c r="F553" s="42">
        <v>53.33</v>
      </c>
      <c r="G553" s="37">
        <f>TRUNC(E553*F553,2)</f>
        <v>53.33</v>
      </c>
    </row>
    <row r="554" spans="2:7" x14ac:dyDescent="0.25">
      <c r="B554" s="119">
        <v>10498</v>
      </c>
      <c r="C554" s="55" t="s">
        <v>457</v>
      </c>
      <c r="D554" s="218" t="s">
        <v>2</v>
      </c>
      <c r="E554" s="71">
        <v>2</v>
      </c>
      <c r="F554" s="42">
        <v>4.0599999999999996</v>
      </c>
      <c r="G554" s="37">
        <f>TRUNC(E554*F554,2)</f>
        <v>8.1199999999999992</v>
      </c>
    </row>
    <row r="555" spans="2:7" x14ac:dyDescent="0.25">
      <c r="B555" s="215"/>
      <c r="C555" s="25"/>
      <c r="D555" s="25"/>
      <c r="E555" s="26"/>
      <c r="F555" s="27" t="s">
        <v>179</v>
      </c>
      <c r="G555" s="40">
        <f>SUM(G553:G554)</f>
        <v>61.449999999999996</v>
      </c>
    </row>
    <row r="556" spans="2:7" ht="15.75" thickBot="1" x14ac:dyDescent="0.3">
      <c r="B556" s="215"/>
      <c r="C556" s="17"/>
      <c r="D556" s="25"/>
      <c r="E556" s="26"/>
      <c r="F556" s="16"/>
      <c r="G556" s="43"/>
    </row>
    <row r="557" spans="2:7" ht="15.75" thickBot="1" x14ac:dyDescent="0.3">
      <c r="B557" s="44" t="s">
        <v>240</v>
      </c>
      <c r="C557" s="45" t="s">
        <v>309</v>
      </c>
      <c r="D557" s="46"/>
      <c r="E557" s="47"/>
      <c r="F557" s="16" t="s">
        <v>178</v>
      </c>
      <c r="G557" s="113">
        <f>G551+G555</f>
        <v>96.433999999999997</v>
      </c>
    </row>
    <row r="558" spans="2:7" x14ac:dyDescent="0.25">
      <c r="B558" s="30" t="s">
        <v>152</v>
      </c>
      <c r="C558" s="51" t="s">
        <v>460</v>
      </c>
      <c r="D558" s="32"/>
      <c r="E558" s="69" t="s">
        <v>193</v>
      </c>
      <c r="F558" s="33" t="s">
        <v>192</v>
      </c>
      <c r="G558" s="34" t="s">
        <v>203</v>
      </c>
    </row>
    <row r="559" spans="2:7" x14ac:dyDescent="0.25">
      <c r="B559" s="35" t="s">
        <v>0</v>
      </c>
      <c r="C559" s="20" t="s">
        <v>1</v>
      </c>
      <c r="D559" s="20" t="s">
        <v>190</v>
      </c>
      <c r="E559" s="59" t="s">
        <v>189</v>
      </c>
      <c r="F559" s="18" t="s">
        <v>188</v>
      </c>
      <c r="G559" s="64" t="s">
        <v>187</v>
      </c>
    </row>
    <row r="560" spans="2:7" x14ac:dyDescent="0.25">
      <c r="B560" s="358" t="s">
        <v>186</v>
      </c>
      <c r="C560" s="359"/>
      <c r="D560" s="216"/>
      <c r="E560" s="26"/>
      <c r="F560" s="36"/>
      <c r="G560" s="37"/>
    </row>
    <row r="561" spans="2:7" x14ac:dyDescent="0.25">
      <c r="B561" s="50">
        <v>88316</v>
      </c>
      <c r="C561" s="17" t="s">
        <v>201</v>
      </c>
      <c r="D561" s="216" t="s">
        <v>184</v>
      </c>
      <c r="E561" s="54">
        <f>0.2+0.45</f>
        <v>0.65</v>
      </c>
      <c r="F561" s="27">
        <v>16.21</v>
      </c>
      <c r="G561" s="37">
        <f>E561*F561</f>
        <v>10.5365</v>
      </c>
    </row>
    <row r="562" spans="2:7" x14ac:dyDescent="0.25">
      <c r="B562" s="50">
        <v>88325</v>
      </c>
      <c r="C562" s="17" t="s">
        <v>455</v>
      </c>
      <c r="D562" s="216" t="s">
        <v>184</v>
      </c>
      <c r="E562" s="54">
        <f>0.5+0.45</f>
        <v>0.95</v>
      </c>
      <c r="F562" s="27">
        <v>19</v>
      </c>
      <c r="G562" s="37">
        <f>E562*F562</f>
        <v>18.05</v>
      </c>
    </row>
    <row r="563" spans="2:7" x14ac:dyDescent="0.25">
      <c r="B563" s="215"/>
      <c r="C563" s="25"/>
      <c r="D563" s="25"/>
      <c r="E563" s="68"/>
      <c r="F563" s="39" t="s">
        <v>183</v>
      </c>
      <c r="G563" s="40">
        <f>SUM(G561:G562)</f>
        <v>28.586500000000001</v>
      </c>
    </row>
    <row r="564" spans="2:7" x14ac:dyDescent="0.25">
      <c r="B564" s="358" t="s">
        <v>182</v>
      </c>
      <c r="C564" s="359"/>
      <c r="D564" s="216"/>
      <c r="E564" s="54"/>
      <c r="F564" s="36"/>
      <c r="G564" s="37"/>
    </row>
    <row r="565" spans="2:7" x14ac:dyDescent="0.25">
      <c r="B565" s="119">
        <v>11185</v>
      </c>
      <c r="C565" s="55" t="s">
        <v>461</v>
      </c>
      <c r="D565" s="218" t="s">
        <v>206</v>
      </c>
      <c r="E565" s="71">
        <v>1</v>
      </c>
      <c r="F565" s="42">
        <v>165.33</v>
      </c>
      <c r="G565" s="37">
        <f>TRUNC(E565*F565,2)</f>
        <v>165.33</v>
      </c>
    </row>
    <row r="566" spans="2:7" x14ac:dyDescent="0.25">
      <c r="B566" s="119">
        <v>10498</v>
      </c>
      <c r="C566" s="55" t="s">
        <v>457</v>
      </c>
      <c r="D566" s="218" t="s">
        <v>2</v>
      </c>
      <c r="E566" s="71">
        <v>1.5</v>
      </c>
      <c r="F566" s="42">
        <v>4.0599999999999996</v>
      </c>
      <c r="G566" s="37">
        <f>TRUNC(E566*F566,2)</f>
        <v>6.09</v>
      </c>
    </row>
    <row r="567" spans="2:7" x14ac:dyDescent="0.25">
      <c r="B567" s="215"/>
      <c r="C567" s="25"/>
      <c r="D567" s="25"/>
      <c r="E567" s="26"/>
      <c r="F567" s="27" t="s">
        <v>179</v>
      </c>
      <c r="G567" s="40">
        <f>SUM(G565:G566)</f>
        <v>171.42000000000002</v>
      </c>
    </row>
    <row r="568" spans="2:7" ht="15.75" thickBot="1" x14ac:dyDescent="0.3">
      <c r="B568" s="215"/>
      <c r="C568" s="17"/>
      <c r="D568" s="25"/>
      <c r="E568" s="26"/>
      <c r="F568" s="16"/>
      <c r="G568" s="43"/>
    </row>
    <row r="569" spans="2:7" ht="15.75" thickBot="1" x14ac:dyDescent="0.3">
      <c r="B569" s="44" t="s">
        <v>240</v>
      </c>
      <c r="C569" s="45" t="s">
        <v>310</v>
      </c>
      <c r="D569" s="46"/>
      <c r="E569" s="47"/>
      <c r="F569" s="16" t="s">
        <v>178</v>
      </c>
      <c r="G569" s="113">
        <f>G563+G567</f>
        <v>200.00650000000002</v>
      </c>
    </row>
    <row r="570" spans="2:7" x14ac:dyDescent="0.25">
      <c r="B570" s="30" t="s">
        <v>153</v>
      </c>
      <c r="C570" s="51" t="s">
        <v>462</v>
      </c>
      <c r="D570" s="32"/>
      <c r="E570" s="69" t="s">
        <v>193</v>
      </c>
      <c r="F570" s="33" t="s">
        <v>192</v>
      </c>
      <c r="G570" s="34" t="s">
        <v>203</v>
      </c>
    </row>
    <row r="571" spans="2:7" x14ac:dyDescent="0.25">
      <c r="B571" s="35" t="s">
        <v>0</v>
      </c>
      <c r="C571" s="20" t="s">
        <v>1</v>
      </c>
      <c r="D571" s="20" t="s">
        <v>190</v>
      </c>
      <c r="E571" s="59" t="s">
        <v>189</v>
      </c>
      <c r="F571" s="18" t="s">
        <v>188</v>
      </c>
      <c r="G571" s="64" t="s">
        <v>187</v>
      </c>
    </row>
    <row r="572" spans="2:7" x14ac:dyDescent="0.25">
      <c r="B572" s="358" t="s">
        <v>186</v>
      </c>
      <c r="C572" s="359"/>
      <c r="D572" s="216"/>
      <c r="E572" s="26"/>
      <c r="F572" s="36"/>
      <c r="G572" s="37"/>
    </row>
    <row r="573" spans="2:7" x14ac:dyDescent="0.25">
      <c r="B573" s="50">
        <v>88316</v>
      </c>
      <c r="C573" s="17" t="s">
        <v>201</v>
      </c>
      <c r="D573" s="216" t="s">
        <v>184</v>
      </c>
      <c r="E573" s="54">
        <f>0.2+0.5</f>
        <v>0.7</v>
      </c>
      <c r="F573" s="27">
        <v>16.21</v>
      </c>
      <c r="G573" s="37">
        <f>E573*F573</f>
        <v>11.347</v>
      </c>
    </row>
    <row r="574" spans="2:7" x14ac:dyDescent="0.25">
      <c r="B574" s="50">
        <v>88325</v>
      </c>
      <c r="C574" s="17" t="s">
        <v>455</v>
      </c>
      <c r="D574" s="216" t="s">
        <v>184</v>
      </c>
      <c r="E574" s="54">
        <f>0.5+0.5</f>
        <v>1</v>
      </c>
      <c r="F574" s="27">
        <v>19</v>
      </c>
      <c r="G574" s="37">
        <f>E574*F574</f>
        <v>19</v>
      </c>
    </row>
    <row r="575" spans="2:7" x14ac:dyDescent="0.25">
      <c r="B575" s="215"/>
      <c r="C575" s="25"/>
      <c r="D575" s="25"/>
      <c r="E575" s="68"/>
      <c r="F575" s="39" t="s">
        <v>183</v>
      </c>
      <c r="G575" s="40">
        <f>SUM(G573:G574)</f>
        <v>30.347000000000001</v>
      </c>
    </row>
    <row r="576" spans="2:7" x14ac:dyDescent="0.25">
      <c r="B576" s="358" t="s">
        <v>182</v>
      </c>
      <c r="C576" s="359"/>
      <c r="D576" s="216"/>
      <c r="E576" s="54"/>
      <c r="F576" s="36"/>
      <c r="G576" s="37"/>
    </row>
    <row r="577" spans="2:7" x14ac:dyDescent="0.25">
      <c r="B577" s="119">
        <v>10507</v>
      </c>
      <c r="C577" s="55" t="s">
        <v>463</v>
      </c>
      <c r="D577" s="218" t="s">
        <v>206</v>
      </c>
      <c r="E577" s="71">
        <v>1</v>
      </c>
      <c r="F577" s="42">
        <v>216.82</v>
      </c>
      <c r="G577" s="37">
        <f>TRUNC(E577*F577,2)</f>
        <v>216.82</v>
      </c>
    </row>
    <row r="578" spans="2:7" x14ac:dyDescent="0.25">
      <c r="B578" s="119">
        <v>10498</v>
      </c>
      <c r="C578" s="55" t="s">
        <v>457</v>
      </c>
      <c r="D578" s="218" t="s">
        <v>2</v>
      </c>
      <c r="E578" s="71">
        <v>1.5</v>
      </c>
      <c r="F578" s="42">
        <v>4.0599999999999996</v>
      </c>
      <c r="G578" s="37">
        <f>TRUNC(E578*F578,2)</f>
        <v>6.09</v>
      </c>
    </row>
    <row r="579" spans="2:7" x14ac:dyDescent="0.25">
      <c r="B579" s="215"/>
      <c r="C579" s="25"/>
      <c r="D579" s="25"/>
      <c r="E579" s="26"/>
      <c r="F579" s="27" t="s">
        <v>179</v>
      </c>
      <c r="G579" s="40">
        <f>SUM(G577:G578)</f>
        <v>222.91</v>
      </c>
    </row>
    <row r="580" spans="2:7" ht="15.75" thickBot="1" x14ac:dyDescent="0.3">
      <c r="B580" s="215"/>
      <c r="C580" s="17"/>
      <c r="D580" s="25"/>
      <c r="E580" s="26"/>
      <c r="F580" s="16"/>
      <c r="G580" s="43"/>
    </row>
    <row r="581" spans="2:7" ht="15.75" thickBot="1" x14ac:dyDescent="0.3">
      <c r="B581" s="44" t="s">
        <v>240</v>
      </c>
      <c r="C581" s="45" t="s">
        <v>373</v>
      </c>
      <c r="D581" s="46"/>
      <c r="E581" s="47"/>
      <c r="F581" s="16" t="s">
        <v>178</v>
      </c>
      <c r="G581" s="113">
        <f>G575+G579</f>
        <v>253.25700000000001</v>
      </c>
    </row>
    <row r="582" spans="2:7" x14ac:dyDescent="0.25">
      <c r="B582" s="30" t="s">
        <v>154</v>
      </c>
      <c r="C582" s="51" t="s">
        <v>790</v>
      </c>
      <c r="D582" s="32"/>
      <c r="E582" s="69" t="s">
        <v>193</v>
      </c>
      <c r="F582" s="33" t="s">
        <v>192</v>
      </c>
      <c r="G582" s="34" t="s">
        <v>203</v>
      </c>
    </row>
    <row r="583" spans="2:7" x14ac:dyDescent="0.25">
      <c r="B583" s="35" t="s">
        <v>0</v>
      </c>
      <c r="C583" s="20" t="s">
        <v>1</v>
      </c>
      <c r="D583" s="20" t="s">
        <v>190</v>
      </c>
      <c r="E583" s="59" t="s">
        <v>189</v>
      </c>
      <c r="F583" s="18" t="s">
        <v>188</v>
      </c>
      <c r="G583" s="64" t="s">
        <v>187</v>
      </c>
    </row>
    <row r="584" spans="2:7" x14ac:dyDescent="0.25">
      <c r="B584" s="358" t="s">
        <v>186</v>
      </c>
      <c r="C584" s="359"/>
      <c r="D584" s="216"/>
      <c r="E584" s="26"/>
      <c r="F584" s="36"/>
      <c r="G584" s="37"/>
    </row>
    <row r="585" spans="2:7" x14ac:dyDescent="0.25">
      <c r="B585" s="50">
        <v>88316</v>
      </c>
      <c r="C585" s="17" t="s">
        <v>201</v>
      </c>
      <c r="D585" s="216" t="s">
        <v>184</v>
      </c>
      <c r="E585" s="54">
        <f>0.2+0.4</f>
        <v>0.60000000000000009</v>
      </c>
      <c r="F585" s="27">
        <v>16.21</v>
      </c>
      <c r="G585" s="37">
        <f>E585*F585</f>
        <v>9.7260000000000026</v>
      </c>
    </row>
    <row r="586" spans="2:7" x14ac:dyDescent="0.25">
      <c r="B586" s="50">
        <v>88325</v>
      </c>
      <c r="C586" s="17" t="s">
        <v>455</v>
      </c>
      <c r="D586" s="216" t="s">
        <v>184</v>
      </c>
      <c r="E586" s="54">
        <f>0.5+2</f>
        <v>2.5</v>
      </c>
      <c r="F586" s="27">
        <v>19</v>
      </c>
      <c r="G586" s="37">
        <f>E586*F586</f>
        <v>47.5</v>
      </c>
    </row>
    <row r="587" spans="2:7" x14ac:dyDescent="0.25">
      <c r="B587" s="215"/>
      <c r="C587" s="25"/>
      <c r="D587" s="25"/>
      <c r="E587" s="68"/>
      <c r="F587" s="39" t="s">
        <v>183</v>
      </c>
      <c r="G587" s="40">
        <f>SUM(G585:G586)</f>
        <v>57.225999999999999</v>
      </c>
    </row>
    <row r="588" spans="2:7" x14ac:dyDescent="0.25">
      <c r="B588" s="358" t="s">
        <v>182</v>
      </c>
      <c r="C588" s="359"/>
      <c r="D588" s="216"/>
      <c r="E588" s="54"/>
      <c r="F588" s="36"/>
      <c r="G588" s="37"/>
    </row>
    <row r="589" spans="2:7" ht="22.5" x14ac:dyDescent="0.25">
      <c r="B589" s="119">
        <v>442</v>
      </c>
      <c r="C589" s="55" t="s">
        <v>464</v>
      </c>
      <c r="D589" s="218" t="s">
        <v>180</v>
      </c>
      <c r="E589" s="71">
        <v>4</v>
      </c>
      <c r="F589" s="42">
        <v>2.5299999999999998</v>
      </c>
      <c r="G589" s="37">
        <f>TRUNC(E589*F589,2)</f>
        <v>10.119999999999999</v>
      </c>
    </row>
    <row r="590" spans="2:7" x14ac:dyDescent="0.25">
      <c r="B590" s="119">
        <v>11186</v>
      </c>
      <c r="C590" s="55" t="s">
        <v>465</v>
      </c>
      <c r="D590" s="218" t="s">
        <v>206</v>
      </c>
      <c r="E590" s="71">
        <v>1</v>
      </c>
      <c r="F590" s="42">
        <v>183.46</v>
      </c>
      <c r="G590" s="37">
        <f>TRUNC(E590*F590,2)</f>
        <v>183.46</v>
      </c>
    </row>
    <row r="591" spans="2:7" x14ac:dyDescent="0.25">
      <c r="B591" s="215"/>
      <c r="C591" s="25"/>
      <c r="D591" s="25"/>
      <c r="E591" s="26"/>
      <c r="F591" s="27" t="s">
        <v>179</v>
      </c>
      <c r="G591" s="40">
        <f>SUM(G589:G590)</f>
        <v>193.58</v>
      </c>
    </row>
    <row r="592" spans="2:7" ht="15.75" thickBot="1" x14ac:dyDescent="0.3">
      <c r="B592" s="215"/>
      <c r="C592" s="17"/>
      <c r="D592" s="25"/>
      <c r="E592" s="26"/>
      <c r="F592" s="16"/>
      <c r="G592" s="43"/>
    </row>
    <row r="593" spans="2:7" ht="15.75" thickBot="1" x14ac:dyDescent="0.3">
      <c r="B593" s="44" t="s">
        <v>240</v>
      </c>
      <c r="C593" s="45" t="s">
        <v>311</v>
      </c>
      <c r="D593" s="46"/>
      <c r="E593" s="47"/>
      <c r="F593" s="16" t="s">
        <v>178</v>
      </c>
      <c r="G593" s="113">
        <f>G587+G591</f>
        <v>250.80600000000001</v>
      </c>
    </row>
    <row r="594" spans="2:7" ht="15.75" thickBot="1" x14ac:dyDescent="0.3">
      <c r="B594" s="23" t="s">
        <v>90</v>
      </c>
      <c r="C594" s="22" t="s">
        <v>87</v>
      </c>
      <c r="D594" s="21"/>
      <c r="E594" s="21"/>
      <c r="F594" s="21"/>
      <c r="G594" s="21"/>
    </row>
    <row r="595" spans="2:7" x14ac:dyDescent="0.25">
      <c r="B595" s="30" t="s">
        <v>155</v>
      </c>
      <c r="C595" s="51" t="s">
        <v>980</v>
      </c>
      <c r="D595" s="32"/>
      <c r="E595" s="69" t="s">
        <v>272</v>
      </c>
      <c r="F595" s="33" t="s">
        <v>192</v>
      </c>
      <c r="G595" s="34" t="s">
        <v>191</v>
      </c>
    </row>
    <row r="596" spans="2:7" x14ac:dyDescent="0.25">
      <c r="B596" s="35" t="s">
        <v>0</v>
      </c>
      <c r="C596" s="20" t="s">
        <v>1</v>
      </c>
      <c r="D596" s="20" t="s">
        <v>190</v>
      </c>
      <c r="E596" s="59" t="s">
        <v>189</v>
      </c>
      <c r="F596" s="18" t="s">
        <v>188</v>
      </c>
      <c r="G596" s="64" t="s">
        <v>187</v>
      </c>
    </row>
    <row r="597" spans="2:7" x14ac:dyDescent="0.25">
      <c r="B597" s="358" t="s">
        <v>186</v>
      </c>
      <c r="C597" s="359"/>
      <c r="D597" s="216"/>
      <c r="E597" s="26"/>
      <c r="F597" s="36"/>
      <c r="G597" s="37"/>
    </row>
    <row r="598" spans="2:7" x14ac:dyDescent="0.25">
      <c r="B598" s="50">
        <v>88261</v>
      </c>
      <c r="C598" s="17" t="s">
        <v>212</v>
      </c>
      <c r="D598" s="216" t="s">
        <v>184</v>
      </c>
      <c r="E598" s="26">
        <v>1.002</v>
      </c>
      <c r="F598" s="27">
        <v>21.38</v>
      </c>
      <c r="G598" s="37">
        <f>E598*F598</f>
        <v>21.42276</v>
      </c>
    </row>
    <row r="599" spans="2:7" x14ac:dyDescent="0.25">
      <c r="B599" s="50">
        <v>88316</v>
      </c>
      <c r="C599" s="17" t="s">
        <v>201</v>
      </c>
      <c r="D599" s="216" t="s">
        <v>184</v>
      </c>
      <c r="E599" s="26">
        <f>0.501</f>
        <v>0.501</v>
      </c>
      <c r="F599" s="27">
        <v>16.21</v>
      </c>
      <c r="G599" s="37">
        <f>E599*F599</f>
        <v>8.1212099999999996</v>
      </c>
    </row>
    <row r="600" spans="2:7" x14ac:dyDescent="0.25">
      <c r="B600" s="215"/>
      <c r="C600" s="25"/>
      <c r="D600" s="25"/>
      <c r="E600" s="53"/>
      <c r="F600" s="39" t="s">
        <v>183</v>
      </c>
      <c r="G600" s="40">
        <f>SUM(G598:G599)</f>
        <v>29.543970000000002</v>
      </c>
    </row>
    <row r="601" spans="2:7" x14ac:dyDescent="0.25">
      <c r="B601" s="358" t="s">
        <v>182</v>
      </c>
      <c r="C601" s="359"/>
      <c r="D601" s="216"/>
      <c r="E601" s="26"/>
      <c r="F601" s="36"/>
      <c r="G601" s="37"/>
    </row>
    <row r="602" spans="2:7" ht="45" x14ac:dyDescent="0.25">
      <c r="B602" s="215">
        <v>3081</v>
      </c>
      <c r="C602" s="55" t="s">
        <v>979</v>
      </c>
      <c r="D602" s="216" t="s">
        <v>243</v>
      </c>
      <c r="E602" s="26">
        <v>1</v>
      </c>
      <c r="F602" s="42">
        <v>63.79</v>
      </c>
      <c r="G602" s="37">
        <f>E602*F602</f>
        <v>63.79</v>
      </c>
    </row>
    <row r="603" spans="2:7" x14ac:dyDescent="0.25">
      <c r="B603" s="215"/>
      <c r="C603" s="25"/>
      <c r="D603" s="25"/>
      <c r="E603" s="26"/>
      <c r="F603" s="27" t="s">
        <v>179</v>
      </c>
      <c r="G603" s="40">
        <f>SUM(G602:G602)</f>
        <v>63.79</v>
      </c>
    </row>
    <row r="604" spans="2:7" ht="15.75" thickBot="1" x14ac:dyDescent="0.3">
      <c r="B604" s="215"/>
      <c r="C604" s="17"/>
      <c r="D604" s="25"/>
      <c r="E604" s="26"/>
      <c r="F604" s="16"/>
      <c r="G604" s="43"/>
    </row>
    <row r="605" spans="2:7" ht="15.75" thickBot="1" x14ac:dyDescent="0.3">
      <c r="B605" s="44" t="s">
        <v>240</v>
      </c>
      <c r="C605" s="45" t="s">
        <v>272</v>
      </c>
      <c r="D605" s="46"/>
      <c r="E605" s="47"/>
      <c r="F605" s="16" t="s">
        <v>178</v>
      </c>
      <c r="G605" s="113">
        <f>G600+G603</f>
        <v>93.333969999999994</v>
      </c>
    </row>
    <row r="606" spans="2:7" x14ac:dyDescent="0.25">
      <c r="B606" s="30" t="s">
        <v>156</v>
      </c>
      <c r="C606" s="51" t="s">
        <v>786</v>
      </c>
      <c r="D606" s="32"/>
      <c r="E606" s="69" t="s">
        <v>312</v>
      </c>
      <c r="F606" s="33" t="s">
        <v>192</v>
      </c>
      <c r="G606" s="34" t="s">
        <v>191</v>
      </c>
    </row>
    <row r="607" spans="2:7" x14ac:dyDescent="0.25">
      <c r="B607" s="35" t="s">
        <v>0</v>
      </c>
      <c r="C607" s="20" t="s">
        <v>1</v>
      </c>
      <c r="D607" s="20" t="s">
        <v>190</v>
      </c>
      <c r="E607" s="59" t="s">
        <v>189</v>
      </c>
      <c r="F607" s="18" t="s">
        <v>188</v>
      </c>
      <c r="G607" s="64" t="s">
        <v>187</v>
      </c>
    </row>
    <row r="608" spans="2:7" x14ac:dyDescent="0.25">
      <c r="B608" s="358" t="s">
        <v>186</v>
      </c>
      <c r="C608" s="359"/>
      <c r="D608" s="216"/>
      <c r="E608" s="26"/>
      <c r="F608" s="36"/>
      <c r="G608" s="37"/>
    </row>
    <row r="609" spans="2:7" x14ac:dyDescent="0.25">
      <c r="B609" s="50">
        <v>88261</v>
      </c>
      <c r="C609" s="17" t="s">
        <v>212</v>
      </c>
      <c r="D609" s="216" t="s">
        <v>184</v>
      </c>
      <c r="E609" s="26">
        <v>0.25</v>
      </c>
      <c r="F609" s="27">
        <v>21.38</v>
      </c>
      <c r="G609" s="37">
        <f>E609*F609</f>
        <v>5.3449999999999998</v>
      </c>
    </row>
    <row r="610" spans="2:7" x14ac:dyDescent="0.25">
      <c r="B610" s="50">
        <v>88239</v>
      </c>
      <c r="C610" s="17" t="s">
        <v>466</v>
      </c>
      <c r="D610" s="216" t="s">
        <v>184</v>
      </c>
      <c r="E610" s="54">
        <v>0.25</v>
      </c>
      <c r="F610" s="27">
        <v>14.95</v>
      </c>
      <c r="G610" s="37">
        <f>E610*F610</f>
        <v>3.7374999999999998</v>
      </c>
    </row>
    <row r="611" spans="2:7" x14ac:dyDescent="0.25">
      <c r="B611" s="215"/>
      <c r="C611" s="25"/>
      <c r="D611" s="25"/>
      <c r="E611" s="53"/>
      <c r="F611" s="39" t="s">
        <v>183</v>
      </c>
      <c r="G611" s="40">
        <f>SUM(G609:G610)</f>
        <v>9.0824999999999996</v>
      </c>
    </row>
    <row r="612" spans="2:7" x14ac:dyDescent="0.25">
      <c r="B612" s="358" t="s">
        <v>182</v>
      </c>
      <c r="C612" s="359"/>
      <c r="D612" s="216"/>
      <c r="E612" s="26"/>
      <c r="F612" s="36"/>
      <c r="G612" s="37"/>
    </row>
    <row r="613" spans="2:7" x14ac:dyDescent="0.25">
      <c r="B613" s="215">
        <v>11457</v>
      </c>
      <c r="C613" s="55" t="s">
        <v>976</v>
      </c>
      <c r="D613" s="216" t="s">
        <v>243</v>
      </c>
      <c r="E613" s="26">
        <v>1</v>
      </c>
      <c r="F613" s="42">
        <v>22.68</v>
      </c>
      <c r="G613" s="37">
        <f>E613*F613</f>
        <v>22.68</v>
      </c>
    </row>
    <row r="614" spans="2:7" x14ac:dyDescent="0.25">
      <c r="B614" s="215"/>
      <c r="C614" s="25"/>
      <c r="D614" s="25"/>
      <c r="E614" s="26"/>
      <c r="F614" s="27" t="s">
        <v>179</v>
      </c>
      <c r="G614" s="40">
        <f>SUM(G613:G613)</f>
        <v>22.68</v>
      </c>
    </row>
    <row r="615" spans="2:7" ht="15.75" thickBot="1" x14ac:dyDescent="0.3">
      <c r="B615" s="215"/>
      <c r="C615" s="17"/>
      <c r="D615" s="25"/>
      <c r="E615" s="26"/>
      <c r="F615" s="16"/>
      <c r="G615" s="43"/>
    </row>
    <row r="616" spans="2:7" ht="15.75" thickBot="1" x14ac:dyDescent="0.3">
      <c r="B616" s="44" t="s">
        <v>240</v>
      </c>
      <c r="C616" s="45" t="s">
        <v>312</v>
      </c>
      <c r="D616" s="46"/>
      <c r="E616" s="47"/>
      <c r="F616" s="16" t="s">
        <v>178</v>
      </c>
      <c r="G616" s="113">
        <f>G611+G614</f>
        <v>31.762499999999999</v>
      </c>
    </row>
    <row r="617" spans="2:7" x14ac:dyDescent="0.25">
      <c r="B617" s="30" t="s">
        <v>157</v>
      </c>
      <c r="C617" s="51" t="s">
        <v>467</v>
      </c>
      <c r="D617" s="32"/>
      <c r="E617" s="69" t="s">
        <v>313</v>
      </c>
      <c r="F617" s="33" t="s">
        <v>192</v>
      </c>
      <c r="G617" s="34" t="s">
        <v>191</v>
      </c>
    </row>
    <row r="618" spans="2:7" x14ac:dyDescent="0.25">
      <c r="B618" s="35" t="s">
        <v>0</v>
      </c>
      <c r="C618" s="20" t="s">
        <v>1</v>
      </c>
      <c r="D618" s="20" t="s">
        <v>190</v>
      </c>
      <c r="E618" s="59" t="s">
        <v>189</v>
      </c>
      <c r="F618" s="18" t="s">
        <v>188</v>
      </c>
      <c r="G618" s="64" t="s">
        <v>187</v>
      </c>
    </row>
    <row r="619" spans="2:7" x14ac:dyDescent="0.25">
      <c r="B619" s="358" t="s">
        <v>186</v>
      </c>
      <c r="C619" s="359"/>
      <c r="D619" s="216"/>
      <c r="E619" s="26"/>
      <c r="F619" s="36"/>
      <c r="G619" s="37"/>
    </row>
    <row r="620" spans="2:7" x14ac:dyDescent="0.25">
      <c r="B620" s="50">
        <v>88261</v>
      </c>
      <c r="C620" s="17" t="s">
        <v>212</v>
      </c>
      <c r="D620" s="216" t="s">
        <v>184</v>
      </c>
      <c r="E620" s="26">
        <v>0.3</v>
      </c>
      <c r="F620" s="27">
        <v>21.38</v>
      </c>
      <c r="G620" s="37">
        <f>E620*F620</f>
        <v>6.4139999999999997</v>
      </c>
    </row>
    <row r="621" spans="2:7" x14ac:dyDescent="0.25">
      <c r="B621" s="50">
        <v>88239</v>
      </c>
      <c r="C621" s="17" t="s">
        <v>466</v>
      </c>
      <c r="D621" s="216" t="s">
        <v>184</v>
      </c>
      <c r="E621" s="54">
        <v>0.3</v>
      </c>
      <c r="F621" s="27">
        <v>16.89</v>
      </c>
      <c r="G621" s="37">
        <f>E621*F621</f>
        <v>5.0670000000000002</v>
      </c>
    </row>
    <row r="622" spans="2:7" x14ac:dyDescent="0.25">
      <c r="B622" s="215"/>
      <c r="C622" s="25"/>
      <c r="D622" s="25"/>
      <c r="E622" s="53"/>
      <c r="F622" s="39" t="s">
        <v>183</v>
      </c>
      <c r="G622" s="40">
        <f>SUM(G620:G621)</f>
        <v>11.481</v>
      </c>
    </row>
    <row r="623" spans="2:7" x14ac:dyDescent="0.25">
      <c r="B623" s="358" t="s">
        <v>182</v>
      </c>
      <c r="C623" s="359"/>
      <c r="D623" s="216"/>
      <c r="E623" s="26"/>
      <c r="F623" s="36"/>
      <c r="G623" s="37"/>
    </row>
    <row r="624" spans="2:7" ht="21" customHeight="1" x14ac:dyDescent="0.25">
      <c r="B624" s="50">
        <v>11447</v>
      </c>
      <c r="C624" s="55" t="s">
        <v>981</v>
      </c>
      <c r="D624" s="216" t="s">
        <v>243</v>
      </c>
      <c r="E624" s="54">
        <v>1</v>
      </c>
      <c r="F624" s="42">
        <v>29.49</v>
      </c>
      <c r="G624" s="37">
        <f>E624*F624</f>
        <v>29.49</v>
      </c>
    </row>
    <row r="625" spans="2:7" x14ac:dyDescent="0.25">
      <c r="B625" s="215"/>
      <c r="C625" s="25"/>
      <c r="D625" s="25"/>
      <c r="E625" s="26"/>
      <c r="F625" s="27" t="s">
        <v>179</v>
      </c>
      <c r="G625" s="40">
        <f>SUM(G624:G624)</f>
        <v>29.49</v>
      </c>
    </row>
    <row r="626" spans="2:7" ht="15.75" thickBot="1" x14ac:dyDescent="0.3">
      <c r="B626" s="215"/>
      <c r="C626" s="17"/>
      <c r="D626" s="25"/>
      <c r="E626" s="26"/>
      <c r="F626" s="16"/>
      <c r="G626" s="43"/>
    </row>
    <row r="627" spans="2:7" ht="15.75" thickBot="1" x14ac:dyDescent="0.3">
      <c r="B627" s="44" t="s">
        <v>240</v>
      </c>
      <c r="C627" s="45" t="s">
        <v>313</v>
      </c>
      <c r="D627" s="46"/>
      <c r="E627" s="47"/>
      <c r="F627" s="16" t="s">
        <v>178</v>
      </c>
      <c r="G627" s="113">
        <f>G622+G625</f>
        <v>40.970999999999997</v>
      </c>
    </row>
    <row r="628" spans="2:7" ht="15.75" thickBot="1" x14ac:dyDescent="0.3">
      <c r="B628" s="72" t="s">
        <v>158</v>
      </c>
      <c r="C628" s="73" t="s">
        <v>468</v>
      </c>
      <c r="D628" s="74"/>
      <c r="E628" s="75" t="s">
        <v>470</v>
      </c>
      <c r="F628" s="76" t="s">
        <v>192</v>
      </c>
      <c r="G628" s="77" t="s">
        <v>191</v>
      </c>
    </row>
    <row r="629" spans="2:7" x14ac:dyDescent="0.25">
      <c r="B629" s="78" t="s">
        <v>0</v>
      </c>
      <c r="C629" s="28" t="s">
        <v>1</v>
      </c>
      <c r="D629" s="28" t="s">
        <v>190</v>
      </c>
      <c r="E629" s="70" t="s">
        <v>189</v>
      </c>
      <c r="F629" s="29" t="s">
        <v>188</v>
      </c>
      <c r="G629" s="79" t="s">
        <v>187</v>
      </c>
    </row>
    <row r="630" spans="2:7" x14ac:dyDescent="0.25">
      <c r="B630" s="358" t="s">
        <v>186</v>
      </c>
      <c r="C630" s="359"/>
      <c r="D630" s="216"/>
      <c r="E630" s="26"/>
      <c r="F630" s="36"/>
      <c r="G630" s="37"/>
    </row>
    <row r="631" spans="2:7" x14ac:dyDescent="0.25">
      <c r="B631" s="50">
        <v>88325</v>
      </c>
      <c r="C631" s="17" t="s">
        <v>455</v>
      </c>
      <c r="D631" s="216" t="s">
        <v>184</v>
      </c>
      <c r="E631" s="54">
        <v>0.75</v>
      </c>
      <c r="F631" s="27">
        <v>19</v>
      </c>
      <c r="G631" s="37">
        <f>E631*F631</f>
        <v>14.25</v>
      </c>
    </row>
    <row r="632" spans="2:7" x14ac:dyDescent="0.25">
      <c r="B632" s="215">
        <v>88316</v>
      </c>
      <c r="C632" s="17" t="s">
        <v>201</v>
      </c>
      <c r="D632" s="216" t="s">
        <v>200</v>
      </c>
      <c r="E632" s="26">
        <f>0.3</f>
        <v>0.3</v>
      </c>
      <c r="F632" s="27">
        <v>16.21</v>
      </c>
      <c r="G632" s="37">
        <f>E632*F632</f>
        <v>4.8630000000000004</v>
      </c>
    </row>
    <row r="633" spans="2:7" x14ac:dyDescent="0.25">
      <c r="B633" s="215"/>
      <c r="C633" s="25"/>
      <c r="D633" s="25"/>
      <c r="E633" s="53"/>
      <c r="F633" s="39" t="s">
        <v>183</v>
      </c>
      <c r="G633" s="40">
        <f>SUM(G631:G632)</f>
        <v>19.113</v>
      </c>
    </row>
    <row r="634" spans="2:7" x14ac:dyDescent="0.25">
      <c r="B634" s="358" t="s">
        <v>182</v>
      </c>
      <c r="C634" s="359"/>
      <c r="D634" s="216"/>
      <c r="E634" s="26"/>
      <c r="F634" s="36"/>
      <c r="G634" s="37"/>
    </row>
    <row r="635" spans="2:7" x14ac:dyDescent="0.25">
      <c r="B635" s="50">
        <v>11499</v>
      </c>
      <c r="C635" s="55" t="s">
        <v>469</v>
      </c>
      <c r="D635" s="216" t="s">
        <v>180</v>
      </c>
      <c r="E635" s="71">
        <v>1</v>
      </c>
      <c r="F635" s="42">
        <v>1063.19</v>
      </c>
      <c r="G635" s="37">
        <f>E635*F635</f>
        <v>1063.19</v>
      </c>
    </row>
    <row r="636" spans="2:7" x14ac:dyDescent="0.25">
      <c r="B636" s="215"/>
      <c r="C636" s="25"/>
      <c r="D636" s="25"/>
      <c r="E636" s="26"/>
      <c r="F636" s="27" t="s">
        <v>179</v>
      </c>
      <c r="G636" s="40">
        <f>SUM(G635:G635)</f>
        <v>1063.19</v>
      </c>
    </row>
    <row r="637" spans="2:7" ht="15.75" thickBot="1" x14ac:dyDescent="0.3">
      <c r="B637" s="215"/>
      <c r="C637" s="17"/>
      <c r="D637" s="25"/>
      <c r="E637" s="26"/>
      <c r="F637" s="16"/>
      <c r="G637" s="43"/>
    </row>
    <row r="638" spans="2:7" ht="15.75" thickBot="1" x14ac:dyDescent="0.3">
      <c r="B638" s="44" t="s">
        <v>240</v>
      </c>
      <c r="C638" s="45" t="s">
        <v>314</v>
      </c>
      <c r="D638" s="46"/>
      <c r="E638" s="47"/>
      <c r="F638" s="16" t="s">
        <v>178</v>
      </c>
      <c r="G638" s="113">
        <f>G633+G636</f>
        <v>1082.3030000000001</v>
      </c>
    </row>
    <row r="639" spans="2:7" ht="15.75" thickBot="1" x14ac:dyDescent="0.3">
      <c r="B639" s="72" t="s">
        <v>159</v>
      </c>
      <c r="C639" s="73" t="s">
        <v>471</v>
      </c>
      <c r="D639" s="74"/>
      <c r="E639" s="75" t="s">
        <v>193</v>
      </c>
      <c r="F639" s="76" t="s">
        <v>192</v>
      </c>
      <c r="G639" s="77" t="s">
        <v>191</v>
      </c>
    </row>
    <row r="640" spans="2:7" x14ac:dyDescent="0.25">
      <c r="B640" s="78" t="s">
        <v>0</v>
      </c>
      <c r="C640" s="28" t="s">
        <v>1</v>
      </c>
      <c r="D640" s="28" t="s">
        <v>190</v>
      </c>
      <c r="E640" s="70" t="s">
        <v>189</v>
      </c>
      <c r="F640" s="29" t="s">
        <v>188</v>
      </c>
      <c r="G640" s="79" t="s">
        <v>187</v>
      </c>
    </row>
    <row r="641" spans="2:7" x14ac:dyDescent="0.25">
      <c r="B641" s="358" t="s">
        <v>186</v>
      </c>
      <c r="C641" s="359"/>
      <c r="D641" s="216"/>
      <c r="E641" s="26"/>
      <c r="F641" s="36"/>
      <c r="G641" s="37"/>
    </row>
    <row r="642" spans="2:7" x14ac:dyDescent="0.25">
      <c r="B642" s="50">
        <v>88261</v>
      </c>
      <c r="C642" s="17" t="s">
        <v>212</v>
      </c>
      <c r="D642" s="216" t="s">
        <v>184</v>
      </c>
      <c r="E642" s="54">
        <f>0.75</f>
        <v>0.75</v>
      </c>
      <c r="F642" s="27">
        <v>21.38</v>
      </c>
      <c r="G642" s="37">
        <f>E642*F642</f>
        <v>16.035</v>
      </c>
    </row>
    <row r="643" spans="2:7" x14ac:dyDescent="0.25">
      <c r="B643" s="215">
        <v>88316</v>
      </c>
      <c r="C643" s="17" t="s">
        <v>201</v>
      </c>
      <c r="D643" s="216" t="s">
        <v>200</v>
      </c>
      <c r="E643" s="26">
        <f>0.3</f>
        <v>0.3</v>
      </c>
      <c r="F643" s="27">
        <v>16.21</v>
      </c>
      <c r="G643" s="37">
        <f>E643*F643</f>
        <v>4.8630000000000004</v>
      </c>
    </row>
    <row r="644" spans="2:7" x14ac:dyDescent="0.25">
      <c r="B644" s="215"/>
      <c r="C644" s="25"/>
      <c r="D644" s="25"/>
      <c r="E644" s="53"/>
      <c r="F644" s="39" t="s">
        <v>183</v>
      </c>
      <c r="G644" s="40">
        <f>SUM(G642:G643)</f>
        <v>20.898</v>
      </c>
    </row>
    <row r="645" spans="2:7" x14ac:dyDescent="0.25">
      <c r="B645" s="358" t="s">
        <v>182</v>
      </c>
      <c r="C645" s="359"/>
      <c r="D645" s="216"/>
      <c r="E645" s="26"/>
      <c r="F645" s="36"/>
      <c r="G645" s="37"/>
    </row>
    <row r="646" spans="2:7" x14ac:dyDescent="0.25">
      <c r="B646" s="50">
        <v>11571</v>
      </c>
      <c r="C646" s="55" t="s">
        <v>787</v>
      </c>
      <c r="D646" s="216" t="s">
        <v>180</v>
      </c>
      <c r="E646" s="71">
        <v>1</v>
      </c>
      <c r="F646" s="42">
        <v>164.88</v>
      </c>
      <c r="G646" s="37">
        <f>E646*F646</f>
        <v>164.88</v>
      </c>
    </row>
    <row r="647" spans="2:7" x14ac:dyDescent="0.25">
      <c r="B647" s="215"/>
      <c r="C647" s="25"/>
      <c r="D647" s="25"/>
      <c r="E647" s="26"/>
      <c r="F647" s="27" t="s">
        <v>179</v>
      </c>
      <c r="G647" s="40">
        <f>SUM(G646:G646)</f>
        <v>164.88</v>
      </c>
    </row>
    <row r="648" spans="2:7" ht="15.75" thickBot="1" x14ac:dyDescent="0.3">
      <c r="B648" s="215"/>
      <c r="C648" s="17"/>
      <c r="D648" s="25"/>
      <c r="E648" s="26"/>
      <c r="F648" s="16"/>
      <c r="G648" s="43"/>
    </row>
    <row r="649" spans="2:7" ht="15.75" thickBot="1" x14ac:dyDescent="0.3">
      <c r="B649" s="44" t="s">
        <v>240</v>
      </c>
      <c r="C649" s="45" t="s">
        <v>314</v>
      </c>
      <c r="D649" s="46"/>
      <c r="E649" s="47"/>
      <c r="F649" s="16" t="s">
        <v>178</v>
      </c>
      <c r="G649" s="113">
        <f>G644+G647</f>
        <v>185.77799999999999</v>
      </c>
    </row>
    <row r="650" spans="2:7" x14ac:dyDescent="0.25">
      <c r="B650" s="30" t="s">
        <v>160</v>
      </c>
      <c r="C650" s="51" t="s">
        <v>472</v>
      </c>
      <c r="D650" s="32"/>
      <c r="E650" s="69" t="s">
        <v>193</v>
      </c>
      <c r="F650" s="33" t="s">
        <v>192</v>
      </c>
      <c r="G650" s="34" t="s">
        <v>191</v>
      </c>
    </row>
    <row r="651" spans="2:7" x14ac:dyDescent="0.25">
      <c r="B651" s="35" t="s">
        <v>0</v>
      </c>
      <c r="C651" s="20" t="s">
        <v>1</v>
      </c>
      <c r="D651" s="20" t="s">
        <v>190</v>
      </c>
      <c r="E651" s="59" t="s">
        <v>189</v>
      </c>
      <c r="F651" s="18" t="s">
        <v>188</v>
      </c>
      <c r="G651" s="64" t="s">
        <v>187</v>
      </c>
    </row>
    <row r="652" spans="2:7" x14ac:dyDescent="0.25">
      <c r="B652" s="358" t="s">
        <v>186</v>
      </c>
      <c r="C652" s="359"/>
      <c r="D652" s="216"/>
      <c r="E652" s="26"/>
      <c r="F652" s="36"/>
      <c r="G652" s="37"/>
    </row>
    <row r="653" spans="2:7" x14ac:dyDescent="0.25">
      <c r="B653" s="50">
        <v>88325</v>
      </c>
      <c r="C653" s="17" t="s">
        <v>455</v>
      </c>
      <c r="D653" s="216" t="s">
        <v>184</v>
      </c>
      <c r="E653" s="54">
        <v>0.75</v>
      </c>
      <c r="F653" s="27">
        <v>19</v>
      </c>
      <c r="G653" s="37">
        <f>E653*F653</f>
        <v>14.25</v>
      </c>
    </row>
    <row r="654" spans="2:7" x14ac:dyDescent="0.25">
      <c r="B654" s="215">
        <v>88316</v>
      </c>
      <c r="C654" s="17" t="s">
        <v>201</v>
      </c>
      <c r="D654" s="216" t="s">
        <v>200</v>
      </c>
      <c r="E654" s="26">
        <f>0.3</f>
        <v>0.3</v>
      </c>
      <c r="F654" s="27">
        <v>16.21</v>
      </c>
      <c r="G654" s="37">
        <f>E654*F654</f>
        <v>4.8630000000000004</v>
      </c>
    </row>
    <row r="655" spans="2:7" x14ac:dyDescent="0.25">
      <c r="B655" s="215"/>
      <c r="C655" s="25"/>
      <c r="D655" s="25"/>
      <c r="E655" s="53"/>
      <c r="F655" s="39" t="s">
        <v>183</v>
      </c>
      <c r="G655" s="40">
        <f>SUM(G653:G654)</f>
        <v>19.113</v>
      </c>
    </row>
    <row r="656" spans="2:7" x14ac:dyDescent="0.25">
      <c r="B656" s="358" t="s">
        <v>182</v>
      </c>
      <c r="C656" s="359"/>
      <c r="D656" s="216"/>
      <c r="E656" s="26"/>
      <c r="F656" s="36"/>
      <c r="G656" s="37"/>
    </row>
    <row r="657" spans="1:8" ht="22.5" x14ac:dyDescent="0.25">
      <c r="B657" s="215">
        <v>3103</v>
      </c>
      <c r="C657" s="55" t="s">
        <v>978</v>
      </c>
      <c r="D657" s="216" t="s">
        <v>180</v>
      </c>
      <c r="E657" s="26">
        <v>1</v>
      </c>
      <c r="F657" s="42">
        <v>50.89</v>
      </c>
      <c r="G657" s="37">
        <f>E657*F657</f>
        <v>50.89</v>
      </c>
    </row>
    <row r="658" spans="1:8" x14ac:dyDescent="0.25">
      <c r="B658" s="215"/>
      <c r="C658" s="25"/>
      <c r="D658" s="25"/>
      <c r="E658" s="26"/>
      <c r="F658" s="27" t="s">
        <v>179</v>
      </c>
      <c r="G658" s="40">
        <f>SUM(G657:G657)</f>
        <v>50.89</v>
      </c>
    </row>
    <row r="659" spans="1:8" ht="15.75" thickBot="1" x14ac:dyDescent="0.3">
      <c r="B659" s="215"/>
      <c r="C659" s="17"/>
      <c r="D659" s="25"/>
      <c r="E659" s="26"/>
      <c r="F659" s="16"/>
      <c r="G659" s="43"/>
    </row>
    <row r="660" spans="1:8" ht="15.75" thickBot="1" x14ac:dyDescent="0.3">
      <c r="B660" s="44" t="s">
        <v>240</v>
      </c>
      <c r="C660" s="45" t="s">
        <v>314</v>
      </c>
      <c r="D660" s="46"/>
      <c r="E660" s="47"/>
      <c r="F660" s="16" t="s">
        <v>178</v>
      </c>
      <c r="G660" s="113">
        <f>G655+G658</f>
        <v>70.003</v>
      </c>
    </row>
    <row r="661" spans="1:8" ht="22.5" x14ac:dyDescent="0.25">
      <c r="B661" s="30" t="s">
        <v>274</v>
      </c>
      <c r="C661" s="51" t="s">
        <v>473</v>
      </c>
      <c r="D661" s="32"/>
      <c r="E661" s="69" t="s">
        <v>193</v>
      </c>
      <c r="F661" s="33" t="s">
        <v>192</v>
      </c>
      <c r="G661" s="34" t="s">
        <v>191</v>
      </c>
    </row>
    <row r="662" spans="1:8" x14ac:dyDescent="0.25">
      <c r="B662" s="35" t="s">
        <v>0</v>
      </c>
      <c r="C662" s="20" t="s">
        <v>1</v>
      </c>
      <c r="D662" s="20" t="s">
        <v>190</v>
      </c>
      <c r="E662" s="59" t="s">
        <v>189</v>
      </c>
      <c r="F662" s="18" t="s">
        <v>188</v>
      </c>
      <c r="G662" s="64" t="s">
        <v>187</v>
      </c>
    </row>
    <row r="663" spans="1:8" x14ac:dyDescent="0.25">
      <c r="B663" s="358" t="s">
        <v>186</v>
      </c>
      <c r="C663" s="359"/>
      <c r="D663" s="216"/>
      <c r="E663" s="26"/>
      <c r="F663" s="36"/>
      <c r="G663" s="37"/>
    </row>
    <row r="664" spans="1:8" ht="24" x14ac:dyDescent="0.25">
      <c r="B664" s="215">
        <v>88273</v>
      </c>
      <c r="C664" s="17" t="s">
        <v>273</v>
      </c>
      <c r="D664" s="216" t="s">
        <v>200</v>
      </c>
      <c r="E664" s="26">
        <v>0.5</v>
      </c>
      <c r="F664" s="27">
        <v>19.71</v>
      </c>
      <c r="G664" s="37">
        <f>E664*F664</f>
        <v>9.8550000000000004</v>
      </c>
      <c r="H664" s="181" t="s">
        <v>315</v>
      </c>
    </row>
    <row r="665" spans="1:8" x14ac:dyDescent="0.25">
      <c r="B665" s="215"/>
      <c r="C665" s="25"/>
      <c r="D665" s="25"/>
      <c r="E665" s="53"/>
      <c r="F665" s="39" t="s">
        <v>183</v>
      </c>
      <c r="G665" s="40">
        <f>SUM(G664:G664)</f>
        <v>9.8550000000000004</v>
      </c>
    </row>
    <row r="666" spans="1:8" x14ac:dyDescent="0.25">
      <c r="B666" s="358" t="s">
        <v>182</v>
      </c>
      <c r="C666" s="359"/>
      <c r="D666" s="216"/>
      <c r="E666" s="26"/>
      <c r="F666" s="36"/>
      <c r="G666" s="37"/>
    </row>
    <row r="667" spans="1:8" x14ac:dyDescent="0.25">
      <c r="A667" s="240"/>
      <c r="B667" s="215" t="str">
        <f>'MAPA COTAÇÃO'!B82</f>
        <v>COT-15</v>
      </c>
      <c r="C667" s="55" t="str">
        <f>'MAPA COTAÇÃO'!B87</f>
        <v>FERRAGENS PARA ARMÁRIO - CORREDIÇAS</v>
      </c>
      <c r="D667" s="216" t="str">
        <f>'MAPA COTAÇÃO'!D87</f>
        <v>UNID</v>
      </c>
      <c r="E667" s="41">
        <f>1/5</f>
        <v>0.2</v>
      </c>
      <c r="F667" s="42">
        <f>'MAPA COTAÇÃO'!J87</f>
        <v>10.11</v>
      </c>
      <c r="G667" s="37">
        <f>E667*F667</f>
        <v>2.0219999999999998</v>
      </c>
      <c r="H667" s="181"/>
    </row>
    <row r="668" spans="1:8" s="179" customFormat="1" x14ac:dyDescent="0.25">
      <c r="A668" s="240"/>
      <c r="B668" s="215" t="str">
        <f>'MAPA COTAÇÃO'!B83</f>
        <v>COT-16</v>
      </c>
      <c r="C668" s="55" t="str">
        <f>'MAPA COTAÇÃO'!B88</f>
        <v>FERRAGENS PARA ARMÁRIO - DOBRADIÇAS</v>
      </c>
      <c r="D668" s="216" t="str">
        <f>'MAPA COTAÇÃO'!D88</f>
        <v>UNID</v>
      </c>
      <c r="E668" s="41">
        <f t="shared" ref="E668:E671" si="2">1/5</f>
        <v>0.2</v>
      </c>
      <c r="F668" s="42">
        <f>'MAPA COTAÇÃO'!J88</f>
        <v>3.88</v>
      </c>
      <c r="G668" s="37">
        <f>E668*F668</f>
        <v>0.77600000000000002</v>
      </c>
      <c r="H668" s="180"/>
    </row>
    <row r="669" spans="1:8" s="179" customFormat="1" x14ac:dyDescent="0.25">
      <c r="A669" s="240"/>
      <c r="B669" s="215" t="str">
        <f>'MAPA COTAÇÃO'!B84</f>
        <v>COT-17</v>
      </c>
      <c r="C669" s="55" t="str">
        <f>'MAPA COTAÇÃO'!B89</f>
        <v>FERRAGENS PARA ARMÁRIO - PISTÃO A GÁS</v>
      </c>
      <c r="D669" s="216" t="str">
        <f>'MAPA COTAÇÃO'!D89</f>
        <v>UNID</v>
      </c>
      <c r="E669" s="41">
        <f t="shared" si="2"/>
        <v>0.2</v>
      </c>
      <c r="F669" s="42">
        <f>'MAPA COTAÇÃO'!J89</f>
        <v>7.7000000000000011</v>
      </c>
      <c r="G669" s="37">
        <f>E669*F669</f>
        <v>1.5400000000000003</v>
      </c>
      <c r="H669" s="180"/>
    </row>
    <row r="670" spans="1:8" s="179" customFormat="1" x14ac:dyDescent="0.25">
      <c r="A670" s="240"/>
      <c r="B670" s="215" t="str">
        <f>'MAPA COTAÇÃO'!B85</f>
        <v>COT-18</v>
      </c>
      <c r="C670" s="55" t="str">
        <f>'MAPA COTAÇÃO'!B90</f>
        <v>FERRAGENS PARA ARMÁRIO - CANTONEIRAS</v>
      </c>
      <c r="D670" s="216" t="str">
        <f>'MAPA COTAÇÃO'!D90</f>
        <v>UNID</v>
      </c>
      <c r="E670" s="41">
        <f t="shared" si="2"/>
        <v>0.2</v>
      </c>
      <c r="F670" s="42">
        <f>'MAPA COTAÇÃO'!J90</f>
        <v>1.089</v>
      </c>
      <c r="G670" s="37">
        <f>E670*F670</f>
        <v>0.21779999999999999</v>
      </c>
      <c r="H670" s="180"/>
    </row>
    <row r="671" spans="1:8" s="179" customFormat="1" x14ac:dyDescent="0.25">
      <c r="A671" s="240"/>
      <c r="B671" s="215" t="str">
        <f>'MAPA COTAÇÃO'!B86</f>
        <v>COT-19</v>
      </c>
      <c r="C671" s="55" t="str">
        <f>'MAPA COTAÇÃO'!B91</f>
        <v>FERRAGENS PARA ARMÁRIO - PUXADOR</v>
      </c>
      <c r="D671" s="216" t="str">
        <f>'MAPA COTAÇÃO'!D91</f>
        <v>UNID</v>
      </c>
      <c r="E671" s="41">
        <f t="shared" si="2"/>
        <v>0.2</v>
      </c>
      <c r="F671" s="42">
        <f>'MAPA COTAÇÃO'!J91</f>
        <v>15.268000000000002</v>
      </c>
      <c r="G671" s="37">
        <f>E671*F671</f>
        <v>3.0536000000000008</v>
      </c>
      <c r="H671" s="180"/>
    </row>
    <row r="672" spans="1:8" s="179" customFormat="1" x14ac:dyDescent="0.25">
      <c r="A672" s="161"/>
      <c r="B672" s="215"/>
      <c r="C672" s="25"/>
      <c r="D672" s="25"/>
      <c r="E672" s="26"/>
      <c r="F672" s="27" t="s">
        <v>179</v>
      </c>
      <c r="G672" s="40">
        <f>SUM(G667:G671)</f>
        <v>7.6094000000000008</v>
      </c>
      <c r="H672" s="180"/>
    </row>
    <row r="673" spans="2:7" ht="15.75" thickBot="1" x14ac:dyDescent="0.3">
      <c r="B673" s="215"/>
      <c r="C673" s="17" t="s">
        <v>682</v>
      </c>
      <c r="D673" s="25"/>
      <c r="E673" s="26"/>
      <c r="F673" s="16"/>
      <c r="G673" s="43"/>
    </row>
    <row r="674" spans="2:7" ht="15.75" thickBot="1" x14ac:dyDescent="0.3">
      <c r="B674" s="44"/>
      <c r="C674" s="45" t="s">
        <v>246</v>
      </c>
      <c r="D674" s="46"/>
      <c r="E674" s="47"/>
      <c r="F674" s="16" t="s">
        <v>178</v>
      </c>
      <c r="G674" s="113">
        <f>G665+G672</f>
        <v>17.464400000000001</v>
      </c>
    </row>
    <row r="675" spans="2:7" x14ac:dyDescent="0.25">
      <c r="B675" s="23" t="s">
        <v>26</v>
      </c>
      <c r="C675" s="22" t="s">
        <v>40</v>
      </c>
      <c r="D675" s="21"/>
      <c r="E675" s="21"/>
      <c r="F675" s="21"/>
      <c r="G675" s="21"/>
    </row>
    <row r="676" spans="2:7" ht="15.75" thickBot="1" x14ac:dyDescent="0.3">
      <c r="B676" s="23" t="s">
        <v>161</v>
      </c>
      <c r="C676" s="22" t="s">
        <v>270</v>
      </c>
      <c r="D676" s="21"/>
      <c r="E676" s="21"/>
      <c r="F676" s="21"/>
      <c r="G676" s="21"/>
    </row>
    <row r="677" spans="2:7" ht="22.5" x14ac:dyDescent="0.25">
      <c r="B677" s="30" t="s">
        <v>162</v>
      </c>
      <c r="C677" s="51" t="s">
        <v>259</v>
      </c>
      <c r="D677" s="32"/>
      <c r="E677" s="69" t="s">
        <v>260</v>
      </c>
      <c r="F677" s="33" t="s">
        <v>192</v>
      </c>
      <c r="G677" s="34" t="s">
        <v>268</v>
      </c>
    </row>
    <row r="678" spans="2:7" x14ac:dyDescent="0.25">
      <c r="B678" s="35" t="s">
        <v>0</v>
      </c>
      <c r="C678" s="20" t="s">
        <v>1</v>
      </c>
      <c r="D678" s="20" t="s">
        <v>190</v>
      </c>
      <c r="E678" s="59" t="s">
        <v>189</v>
      </c>
      <c r="F678" s="18" t="s">
        <v>188</v>
      </c>
      <c r="G678" s="64" t="s">
        <v>187</v>
      </c>
    </row>
    <row r="679" spans="2:7" x14ac:dyDescent="0.25">
      <c r="B679" s="358" t="s">
        <v>186</v>
      </c>
      <c r="C679" s="359"/>
      <c r="D679" s="56"/>
      <c r="E679" s="26"/>
      <c r="F679" s="36"/>
      <c r="G679" s="37"/>
    </row>
    <row r="680" spans="2:7" x14ac:dyDescent="0.25">
      <c r="B680" s="50">
        <v>88315</v>
      </c>
      <c r="C680" s="17" t="s">
        <v>265</v>
      </c>
      <c r="D680" s="56" t="s">
        <v>184</v>
      </c>
      <c r="E680" s="71">
        <v>0.16500000000000001</v>
      </c>
      <c r="F680" s="27">
        <v>20.53</v>
      </c>
      <c r="G680" s="37">
        <f>E680*F680</f>
        <v>3.3874500000000003</v>
      </c>
    </row>
    <row r="681" spans="2:7" x14ac:dyDescent="0.25">
      <c r="B681" s="50">
        <v>88317</v>
      </c>
      <c r="C681" s="17" t="s">
        <v>266</v>
      </c>
      <c r="D681" s="56" t="s">
        <v>184</v>
      </c>
      <c r="E681" s="71">
        <v>0.16500000000000001</v>
      </c>
      <c r="F681" s="27">
        <v>21.57</v>
      </c>
      <c r="G681" s="37">
        <f>E681*F681</f>
        <v>3.55905</v>
      </c>
    </row>
    <row r="682" spans="2:7" x14ac:dyDescent="0.25">
      <c r="B682" s="50">
        <v>88251</v>
      </c>
      <c r="C682" s="17" t="s">
        <v>267</v>
      </c>
      <c r="D682" s="56" t="s">
        <v>184</v>
      </c>
      <c r="E682" s="71">
        <v>0.16500000000000001</v>
      </c>
      <c r="F682" s="42">
        <v>16.059999999999999</v>
      </c>
      <c r="G682" s="37">
        <f>E682*F682</f>
        <v>2.6498999999999997</v>
      </c>
    </row>
    <row r="683" spans="2:7" x14ac:dyDescent="0.25">
      <c r="B683" s="57"/>
      <c r="C683" s="25"/>
      <c r="D683" s="25"/>
      <c r="E683" s="68"/>
      <c r="F683" s="39" t="s">
        <v>183</v>
      </c>
      <c r="G683" s="40">
        <f>SUM(G680:G682)</f>
        <v>9.5963999999999992</v>
      </c>
    </row>
    <row r="684" spans="2:7" x14ac:dyDescent="0.25">
      <c r="B684" s="358" t="s">
        <v>182</v>
      </c>
      <c r="C684" s="359"/>
      <c r="D684" s="56"/>
      <c r="E684" s="54"/>
      <c r="F684" s="36"/>
      <c r="G684" s="37"/>
    </row>
    <row r="685" spans="2:7" x14ac:dyDescent="0.25">
      <c r="B685" s="57">
        <v>10966</v>
      </c>
      <c r="C685" s="17" t="s">
        <v>261</v>
      </c>
      <c r="D685" s="56" t="s">
        <v>2</v>
      </c>
      <c r="E685" s="26">
        <v>0.63</v>
      </c>
      <c r="F685" s="42">
        <v>4.41</v>
      </c>
      <c r="G685" s="37">
        <f>TRUNC(E685*F685,2)</f>
        <v>2.77</v>
      </c>
    </row>
    <row r="686" spans="2:7" x14ac:dyDescent="0.25">
      <c r="B686" s="57">
        <v>4766</v>
      </c>
      <c r="C686" s="17" t="s">
        <v>262</v>
      </c>
      <c r="D686" s="56" t="s">
        <v>2</v>
      </c>
      <c r="E686" s="26">
        <v>0.21</v>
      </c>
      <c r="F686" s="42">
        <v>4.38</v>
      </c>
      <c r="G686" s="37">
        <f>TRUNC(E686*F686,2)</f>
        <v>0.91</v>
      </c>
    </row>
    <row r="687" spans="2:7" x14ac:dyDescent="0.25">
      <c r="B687" s="57">
        <v>4777</v>
      </c>
      <c r="C687" s="17" t="s">
        <v>263</v>
      </c>
      <c r="D687" s="56" t="s">
        <v>2</v>
      </c>
      <c r="E687" s="26">
        <v>0.21</v>
      </c>
      <c r="F687" s="42">
        <v>3.27</v>
      </c>
      <c r="G687" s="37">
        <f>TRUNC(E687*F687,2)</f>
        <v>0.68</v>
      </c>
    </row>
    <row r="688" spans="2:7" x14ac:dyDescent="0.25">
      <c r="B688" s="57">
        <v>10999</v>
      </c>
      <c r="C688" s="17" t="s">
        <v>264</v>
      </c>
      <c r="D688" s="56" t="s">
        <v>2</v>
      </c>
      <c r="E688" s="26">
        <v>0.02</v>
      </c>
      <c r="F688" s="42">
        <v>19.739999999999998</v>
      </c>
      <c r="G688" s="37">
        <f>TRUNC(E688*F688,2)</f>
        <v>0.39</v>
      </c>
    </row>
    <row r="689" spans="2:7" ht="22.5" x14ac:dyDescent="0.25">
      <c r="B689" s="57">
        <v>83765</v>
      </c>
      <c r="C689" s="17" t="s">
        <v>269</v>
      </c>
      <c r="D689" s="56" t="s">
        <v>205</v>
      </c>
      <c r="E689" s="26">
        <v>0.1</v>
      </c>
      <c r="F689" s="42">
        <v>63.31</v>
      </c>
      <c r="G689" s="37">
        <f>TRUNC(E689*F689,2)</f>
        <v>6.33</v>
      </c>
    </row>
    <row r="690" spans="2:7" x14ac:dyDescent="0.25">
      <c r="B690" s="57"/>
      <c r="C690" s="25"/>
      <c r="D690" s="25"/>
      <c r="E690" s="26"/>
      <c r="F690" s="27" t="s">
        <v>179</v>
      </c>
      <c r="G690" s="40">
        <f>SUM(G685:G689)</f>
        <v>11.08</v>
      </c>
    </row>
    <row r="691" spans="2:7" ht="15.75" thickBot="1" x14ac:dyDescent="0.3">
      <c r="B691" s="57"/>
      <c r="C691" s="17"/>
      <c r="D691" s="25"/>
      <c r="E691" s="26"/>
      <c r="F691" s="16"/>
      <c r="G691" s="43"/>
    </row>
    <row r="692" spans="2:7" ht="15.75" thickBot="1" x14ac:dyDescent="0.3">
      <c r="B692" s="44" t="s">
        <v>240</v>
      </c>
      <c r="C692" s="45" t="s">
        <v>260</v>
      </c>
      <c r="D692" s="46"/>
      <c r="E692" s="47"/>
      <c r="F692" s="16" t="s">
        <v>178</v>
      </c>
      <c r="G692" s="113">
        <f>G683+G690</f>
        <v>20.676400000000001</v>
      </c>
    </row>
    <row r="693" spans="2:7" x14ac:dyDescent="0.25">
      <c r="B693" s="23" t="s">
        <v>28</v>
      </c>
      <c r="C693" s="22" t="s">
        <v>83</v>
      </c>
      <c r="D693" s="21"/>
      <c r="E693" s="21"/>
      <c r="F693" s="21"/>
      <c r="G693" s="21"/>
    </row>
    <row r="694" spans="2:7" ht="15.75" thickBot="1" x14ac:dyDescent="0.3">
      <c r="B694" s="23" t="s">
        <v>85</v>
      </c>
      <c r="C694" s="22" t="s">
        <v>84</v>
      </c>
      <c r="D694" s="21"/>
      <c r="E694" s="21"/>
      <c r="F694" s="21"/>
      <c r="G694" s="21"/>
    </row>
    <row r="695" spans="2:7" x14ac:dyDescent="0.25">
      <c r="B695" s="30" t="s">
        <v>476</v>
      </c>
      <c r="C695" s="51" t="s">
        <v>948</v>
      </c>
      <c r="D695" s="32"/>
      <c r="E695" s="69" t="s">
        <v>947</v>
      </c>
      <c r="F695" s="33" t="s">
        <v>192</v>
      </c>
      <c r="G695" s="34" t="s">
        <v>203</v>
      </c>
    </row>
    <row r="696" spans="2:7" x14ac:dyDescent="0.25">
      <c r="B696" s="35" t="s">
        <v>0</v>
      </c>
      <c r="C696" s="20" t="s">
        <v>1</v>
      </c>
      <c r="D696" s="20" t="s">
        <v>190</v>
      </c>
      <c r="E696" s="59" t="s">
        <v>189</v>
      </c>
      <c r="F696" s="18" t="s">
        <v>188</v>
      </c>
      <c r="G696" s="64" t="s">
        <v>187</v>
      </c>
    </row>
    <row r="697" spans="2:7" x14ac:dyDescent="0.25">
      <c r="B697" s="358" t="s">
        <v>186</v>
      </c>
      <c r="C697" s="359"/>
      <c r="D697" s="216"/>
      <c r="E697" s="26"/>
      <c r="F697" s="36"/>
      <c r="G697" s="37"/>
    </row>
    <row r="698" spans="2:7" x14ac:dyDescent="0.25">
      <c r="B698" s="50">
        <v>88243</v>
      </c>
      <c r="C698" s="17" t="s">
        <v>395</v>
      </c>
      <c r="D698" s="216" t="s">
        <v>184</v>
      </c>
      <c r="E698" s="71">
        <v>0.45</v>
      </c>
      <c r="F698" s="27">
        <v>17.29</v>
      </c>
      <c r="G698" s="37">
        <f>E698*F698</f>
        <v>7.7805</v>
      </c>
    </row>
    <row r="699" spans="2:7" x14ac:dyDescent="0.25">
      <c r="B699" s="50">
        <v>88270</v>
      </c>
      <c r="C699" s="17" t="s">
        <v>474</v>
      </c>
      <c r="D699" s="216" t="s">
        <v>184</v>
      </c>
      <c r="E699" s="71">
        <v>0.45</v>
      </c>
      <c r="F699" s="27">
        <v>22.71</v>
      </c>
      <c r="G699" s="37">
        <f>E699*F699</f>
        <v>10.2195</v>
      </c>
    </row>
    <row r="700" spans="2:7" x14ac:dyDescent="0.25">
      <c r="B700" s="50">
        <v>88316</v>
      </c>
      <c r="C700" s="17" t="s">
        <v>201</v>
      </c>
      <c r="D700" s="216" t="s">
        <v>184</v>
      </c>
      <c r="E700" s="71">
        <v>0.3</v>
      </c>
      <c r="F700" s="27">
        <v>16.21</v>
      </c>
      <c r="G700" s="37">
        <f>E700*F700</f>
        <v>4.8630000000000004</v>
      </c>
    </row>
    <row r="701" spans="2:7" x14ac:dyDescent="0.25">
      <c r="B701" s="215"/>
      <c r="C701" s="25"/>
      <c r="D701" s="25"/>
      <c r="E701" s="68"/>
      <c r="F701" s="39" t="s">
        <v>183</v>
      </c>
      <c r="G701" s="40">
        <f>SUM(G698:G700)</f>
        <v>22.863</v>
      </c>
    </row>
    <row r="702" spans="2:7" x14ac:dyDescent="0.25">
      <c r="B702" s="358" t="s">
        <v>182</v>
      </c>
      <c r="C702" s="359"/>
      <c r="D702" s="216"/>
      <c r="E702" s="54"/>
      <c r="F702" s="36"/>
      <c r="G702" s="37"/>
    </row>
    <row r="703" spans="2:7" ht="22.5" x14ac:dyDescent="0.25">
      <c r="B703" s="50">
        <v>511</v>
      </c>
      <c r="C703" s="17" t="s">
        <v>477</v>
      </c>
      <c r="D703" s="216" t="s">
        <v>213</v>
      </c>
      <c r="E703" s="54">
        <v>0.4</v>
      </c>
      <c r="F703" s="42">
        <v>14.68</v>
      </c>
      <c r="G703" s="37">
        <f>TRUNC(E703*F703,2)</f>
        <v>5.87</v>
      </c>
    </row>
    <row r="704" spans="2:7" ht="22.5" x14ac:dyDescent="0.25">
      <c r="B704" s="50">
        <v>4015</v>
      </c>
      <c r="C704" s="17" t="s">
        <v>478</v>
      </c>
      <c r="D704" s="216" t="s">
        <v>206</v>
      </c>
      <c r="E704" s="54">
        <v>1.1000000000000001</v>
      </c>
      <c r="F704" s="42">
        <v>32.01</v>
      </c>
      <c r="G704" s="37">
        <f>TRUNC(E704*F704,2)</f>
        <v>35.21</v>
      </c>
    </row>
    <row r="705" spans="2:7" ht="22.5" x14ac:dyDescent="0.25">
      <c r="B705" s="50">
        <v>7319</v>
      </c>
      <c r="C705" s="17" t="s">
        <v>475</v>
      </c>
      <c r="D705" s="216" t="s">
        <v>213</v>
      </c>
      <c r="E705" s="54">
        <v>0.56599999999999995</v>
      </c>
      <c r="F705" s="42">
        <v>6.84</v>
      </c>
      <c r="G705" s="37">
        <f>TRUNC(E705*F705,2)</f>
        <v>3.87</v>
      </c>
    </row>
    <row r="706" spans="2:7" x14ac:dyDescent="0.25">
      <c r="B706" s="215"/>
      <c r="C706" s="25"/>
      <c r="D706" s="25"/>
      <c r="E706" s="26"/>
      <c r="F706" s="27" t="s">
        <v>179</v>
      </c>
      <c r="G706" s="40">
        <f>SUM(G703:G705)</f>
        <v>44.949999999999996</v>
      </c>
    </row>
    <row r="707" spans="2:7" ht="15.75" thickBot="1" x14ac:dyDescent="0.3">
      <c r="B707" s="215"/>
      <c r="C707" s="17"/>
      <c r="D707" s="25"/>
      <c r="E707" s="26"/>
      <c r="F707" s="16"/>
      <c r="G707" s="43"/>
    </row>
    <row r="708" spans="2:7" ht="15.75" thickBot="1" x14ac:dyDescent="0.3">
      <c r="B708" s="44" t="s">
        <v>240</v>
      </c>
      <c r="C708" s="45" t="s">
        <v>947</v>
      </c>
      <c r="D708" s="46"/>
      <c r="E708" s="47"/>
      <c r="F708" s="16" t="s">
        <v>178</v>
      </c>
      <c r="G708" s="113">
        <f>G701+G706</f>
        <v>67.812999999999988</v>
      </c>
    </row>
    <row r="709" spans="2:7" x14ac:dyDescent="0.25">
      <c r="B709" s="30" t="s">
        <v>479</v>
      </c>
      <c r="C709" s="51" t="s">
        <v>317</v>
      </c>
      <c r="D709" s="32"/>
      <c r="E709" s="69" t="s">
        <v>316</v>
      </c>
      <c r="F709" s="33" t="s">
        <v>192</v>
      </c>
      <c r="G709" s="34" t="s">
        <v>203</v>
      </c>
    </row>
    <row r="710" spans="2:7" x14ac:dyDescent="0.25">
      <c r="B710" s="35" t="s">
        <v>0</v>
      </c>
      <c r="C710" s="20" t="s">
        <v>1</v>
      </c>
      <c r="D710" s="20" t="s">
        <v>190</v>
      </c>
      <c r="E710" s="59" t="s">
        <v>189</v>
      </c>
      <c r="F710" s="18" t="s">
        <v>188</v>
      </c>
      <c r="G710" s="64" t="s">
        <v>187</v>
      </c>
    </row>
    <row r="711" spans="2:7" x14ac:dyDescent="0.25">
      <c r="B711" s="358" t="s">
        <v>186</v>
      </c>
      <c r="C711" s="359"/>
      <c r="D711" s="216"/>
      <c r="E711" s="26"/>
      <c r="F711" s="36"/>
      <c r="G711" s="37"/>
    </row>
    <row r="712" spans="2:7" x14ac:dyDescent="0.25">
      <c r="B712" s="50">
        <v>88270</v>
      </c>
      <c r="C712" s="17" t="s">
        <v>474</v>
      </c>
      <c r="D712" s="216" t="s">
        <v>184</v>
      </c>
      <c r="E712" s="71">
        <v>1</v>
      </c>
      <c r="F712" s="27">
        <v>22.71</v>
      </c>
      <c r="G712" s="37">
        <f>E712*F712</f>
        <v>22.71</v>
      </c>
    </row>
    <row r="713" spans="2:7" x14ac:dyDescent="0.25">
      <c r="B713" s="50">
        <v>88316</v>
      </c>
      <c r="C713" s="17" t="s">
        <v>201</v>
      </c>
      <c r="D713" s="216" t="s">
        <v>184</v>
      </c>
      <c r="E713" s="71">
        <v>1.18</v>
      </c>
      <c r="F713" s="27">
        <v>16.21</v>
      </c>
      <c r="G713" s="37">
        <f>E713*F713</f>
        <v>19.127800000000001</v>
      </c>
    </row>
    <row r="714" spans="2:7" x14ac:dyDescent="0.25">
      <c r="B714" s="215"/>
      <c r="C714" s="25"/>
      <c r="D714" s="25"/>
      <c r="E714" s="68"/>
      <c r="F714" s="39" t="s">
        <v>183</v>
      </c>
      <c r="G714" s="40">
        <f>SUM(G712:G713)</f>
        <v>41.837800000000001</v>
      </c>
    </row>
    <row r="715" spans="2:7" x14ac:dyDescent="0.25">
      <c r="B715" s="358" t="s">
        <v>182</v>
      </c>
      <c r="C715" s="359"/>
      <c r="D715" s="216"/>
      <c r="E715" s="54"/>
      <c r="F715" s="36"/>
      <c r="G715" s="37"/>
    </row>
    <row r="716" spans="2:7" ht="33.75" x14ac:dyDescent="0.25">
      <c r="B716" s="50">
        <v>626</v>
      </c>
      <c r="C716" s="17" t="s">
        <v>480</v>
      </c>
      <c r="D716" s="216" t="s">
        <v>2</v>
      </c>
      <c r="E716" s="54">
        <v>0.1108</v>
      </c>
      <c r="F716" s="42">
        <v>10.74</v>
      </c>
      <c r="G716" s="37">
        <f>TRUNC(E716*F716,2)</f>
        <v>1.18</v>
      </c>
    </row>
    <row r="717" spans="2:7" ht="22.5" x14ac:dyDescent="0.25">
      <c r="B717" s="50">
        <v>11621</v>
      </c>
      <c r="C717" s="17" t="s">
        <v>481</v>
      </c>
      <c r="D717" s="216" t="s">
        <v>206</v>
      </c>
      <c r="E717" s="54">
        <v>1.1000000000000001</v>
      </c>
      <c r="F717" s="42">
        <v>25.2</v>
      </c>
      <c r="G717" s="37">
        <f>TRUNC(E717*F717,2)</f>
        <v>27.72</v>
      </c>
    </row>
    <row r="718" spans="2:7" x14ac:dyDescent="0.25">
      <c r="B718" s="215"/>
      <c r="C718" s="25"/>
      <c r="D718" s="25"/>
      <c r="E718" s="26"/>
      <c r="F718" s="27" t="s">
        <v>179</v>
      </c>
      <c r="G718" s="40">
        <f>SUM(G716:G717)</f>
        <v>28.9</v>
      </c>
    </row>
    <row r="719" spans="2:7" ht="15.75" thickBot="1" x14ac:dyDescent="0.3">
      <c r="B719" s="215"/>
      <c r="C719" s="17"/>
      <c r="D719" s="25"/>
      <c r="E719" s="26"/>
      <c r="F719" s="16"/>
      <c r="G719" s="43"/>
    </row>
    <row r="720" spans="2:7" ht="15.75" thickBot="1" x14ac:dyDescent="0.3">
      <c r="B720" s="44" t="s">
        <v>240</v>
      </c>
      <c r="C720" s="45" t="s">
        <v>316</v>
      </c>
      <c r="D720" s="46"/>
      <c r="E720" s="47"/>
      <c r="F720" s="16" t="s">
        <v>178</v>
      </c>
      <c r="G720" s="113">
        <f>G714+G718</f>
        <v>70.737799999999993</v>
      </c>
    </row>
    <row r="721" spans="2:8" ht="22.5" x14ac:dyDescent="0.25">
      <c r="B721" s="30" t="s">
        <v>482</v>
      </c>
      <c r="C721" s="51" t="s">
        <v>949</v>
      </c>
      <c r="D721" s="32"/>
      <c r="E721" s="69" t="s">
        <v>486</v>
      </c>
      <c r="F721" s="33" t="s">
        <v>192</v>
      </c>
      <c r="G721" s="34" t="s">
        <v>203</v>
      </c>
    </row>
    <row r="722" spans="2:8" x14ac:dyDescent="0.25">
      <c r="B722" s="35" t="s">
        <v>0</v>
      </c>
      <c r="C722" s="20" t="s">
        <v>1</v>
      </c>
      <c r="D722" s="20" t="s">
        <v>190</v>
      </c>
      <c r="E722" s="59" t="s">
        <v>189</v>
      </c>
      <c r="F722" s="18" t="s">
        <v>188</v>
      </c>
      <c r="G722" s="64" t="s">
        <v>187</v>
      </c>
    </row>
    <row r="723" spans="2:8" x14ac:dyDescent="0.25">
      <c r="B723" s="358" t="s">
        <v>186</v>
      </c>
      <c r="C723" s="359"/>
      <c r="D723" s="216"/>
      <c r="E723" s="26"/>
      <c r="F723" s="36"/>
      <c r="G723" s="37"/>
    </row>
    <row r="724" spans="2:8" x14ac:dyDescent="0.25">
      <c r="B724" s="50">
        <v>88309</v>
      </c>
      <c r="C724" s="17" t="s">
        <v>215</v>
      </c>
      <c r="D724" s="216" t="s">
        <v>184</v>
      </c>
      <c r="E724" s="71">
        <f>0.2+0.2</f>
        <v>0.4</v>
      </c>
      <c r="F724" s="27">
        <v>21.74</v>
      </c>
      <c r="G724" s="37">
        <f>E724*F724</f>
        <v>8.6959999999999997</v>
      </c>
    </row>
    <row r="725" spans="2:8" x14ac:dyDescent="0.25">
      <c r="B725" s="50">
        <v>88316</v>
      </c>
      <c r="C725" s="17" t="s">
        <v>201</v>
      </c>
      <c r="D725" s="216" t="s">
        <v>184</v>
      </c>
      <c r="E725" s="71">
        <f>0.1+0.2</f>
        <v>0.30000000000000004</v>
      </c>
      <c r="F725" s="27">
        <v>16.21</v>
      </c>
      <c r="G725" s="37">
        <f>E725*F725</f>
        <v>4.8630000000000013</v>
      </c>
    </row>
    <row r="726" spans="2:8" x14ac:dyDescent="0.25">
      <c r="B726" s="215"/>
      <c r="C726" s="25"/>
      <c r="D726" s="25"/>
      <c r="E726" s="68"/>
      <c r="F726" s="39" t="s">
        <v>183</v>
      </c>
      <c r="G726" s="40">
        <f>SUM(G724:G725)</f>
        <v>13.559000000000001</v>
      </c>
    </row>
    <row r="727" spans="2:8" x14ac:dyDescent="0.25">
      <c r="B727" s="358" t="s">
        <v>182</v>
      </c>
      <c r="C727" s="359"/>
      <c r="D727" s="216"/>
      <c r="E727" s="54"/>
      <c r="F727" s="36"/>
      <c r="G727" s="37"/>
    </row>
    <row r="728" spans="2:8" ht="22.5" x14ac:dyDescent="0.25">
      <c r="B728" s="50">
        <v>135</v>
      </c>
      <c r="C728" s="17" t="s">
        <v>483</v>
      </c>
      <c r="D728" s="216" t="s">
        <v>2</v>
      </c>
      <c r="E728" s="54">
        <v>1.2</v>
      </c>
      <c r="F728" s="42">
        <v>4.4400000000000004</v>
      </c>
      <c r="G728" s="37">
        <f>TRUNC(E728*F728,2)</f>
        <v>5.32</v>
      </c>
    </row>
    <row r="729" spans="2:8" x14ac:dyDescent="0.25">
      <c r="B729" s="50">
        <v>25865</v>
      </c>
      <c r="C729" s="17" t="s">
        <v>484</v>
      </c>
      <c r="D729" s="216" t="s">
        <v>206</v>
      </c>
      <c r="E729" s="54">
        <v>1.05</v>
      </c>
      <c r="F729" s="42">
        <v>31.63</v>
      </c>
      <c r="G729" s="37">
        <f>TRUNC(E729*F729,2)</f>
        <v>33.21</v>
      </c>
    </row>
    <row r="730" spans="2:8" x14ac:dyDescent="0.25">
      <c r="B730" s="215"/>
      <c r="C730" s="25"/>
      <c r="D730" s="25"/>
      <c r="E730" s="26"/>
      <c r="F730" s="27" t="s">
        <v>179</v>
      </c>
      <c r="G730" s="40">
        <f>SUM(G728:G729)</f>
        <v>38.53</v>
      </c>
    </row>
    <row r="731" spans="2:8" ht="15.75" thickBot="1" x14ac:dyDescent="0.3">
      <c r="B731" s="215"/>
      <c r="C731" s="17"/>
      <c r="D731" s="25"/>
      <c r="E731" s="26"/>
      <c r="F731" s="16"/>
      <c r="G731" s="43"/>
    </row>
    <row r="732" spans="2:8" ht="15.75" thickBot="1" x14ac:dyDescent="0.3">
      <c r="B732" s="44" t="s">
        <v>240</v>
      </c>
      <c r="C732" s="45" t="s">
        <v>485</v>
      </c>
      <c r="D732" s="46"/>
      <c r="E732" s="47"/>
      <c r="F732" s="16" t="s">
        <v>178</v>
      </c>
      <c r="G732" s="113">
        <f>G726+G730</f>
        <v>52.088999999999999</v>
      </c>
    </row>
    <row r="733" spans="2:8" x14ac:dyDescent="0.25">
      <c r="B733" s="30" t="s">
        <v>487</v>
      </c>
      <c r="C733" s="51" t="s">
        <v>950</v>
      </c>
      <c r="D733" s="32"/>
      <c r="E733" s="69" t="s">
        <v>193</v>
      </c>
      <c r="F733" s="33" t="s">
        <v>192</v>
      </c>
      <c r="G733" s="34" t="s">
        <v>214</v>
      </c>
    </row>
    <row r="734" spans="2:8" ht="24" x14ac:dyDescent="0.25">
      <c r="B734" s="35" t="s">
        <v>0</v>
      </c>
      <c r="C734" s="20" t="s">
        <v>1</v>
      </c>
      <c r="D734" s="20" t="s">
        <v>190</v>
      </c>
      <c r="E734" s="59" t="s">
        <v>189</v>
      </c>
      <c r="F734" s="18" t="s">
        <v>188</v>
      </c>
      <c r="G734" s="64" t="s">
        <v>187</v>
      </c>
      <c r="H734" s="181" t="s">
        <v>951</v>
      </c>
    </row>
    <row r="735" spans="2:8" x14ac:dyDescent="0.25">
      <c r="B735" s="358" t="s">
        <v>186</v>
      </c>
      <c r="C735" s="359"/>
      <c r="D735" s="216"/>
      <c r="E735" s="26"/>
      <c r="F735" s="36"/>
      <c r="G735" s="37"/>
    </row>
    <row r="736" spans="2:8" x14ac:dyDescent="0.25">
      <c r="B736" s="50">
        <v>88270</v>
      </c>
      <c r="C736" s="17" t="s">
        <v>474</v>
      </c>
      <c r="D736" s="216" t="s">
        <v>184</v>
      </c>
      <c r="E736" s="71">
        <f>0.33*0.4</f>
        <v>0.13200000000000001</v>
      </c>
      <c r="F736" s="27">
        <v>22.71</v>
      </c>
      <c r="G736" s="37">
        <f>E736*F736</f>
        <v>2.9977200000000002</v>
      </c>
    </row>
    <row r="737" spans="2:7" x14ac:dyDescent="0.25">
      <c r="B737" s="215"/>
      <c r="C737" s="25"/>
      <c r="D737" s="25"/>
      <c r="E737" s="68"/>
      <c r="F737" s="39" t="s">
        <v>183</v>
      </c>
      <c r="G737" s="40">
        <f>SUM(G736:G736)</f>
        <v>2.9977200000000002</v>
      </c>
    </row>
    <row r="738" spans="2:7" x14ac:dyDescent="0.25">
      <c r="B738" s="358" t="s">
        <v>182</v>
      </c>
      <c r="C738" s="359"/>
      <c r="D738" s="216"/>
      <c r="E738" s="54"/>
      <c r="F738" s="36"/>
      <c r="G738" s="37"/>
    </row>
    <row r="739" spans="2:7" ht="22.5" x14ac:dyDescent="0.25">
      <c r="B739" s="50">
        <v>142</v>
      </c>
      <c r="C739" s="17" t="s">
        <v>488</v>
      </c>
      <c r="D739" s="216" t="s">
        <v>271</v>
      </c>
      <c r="E739" s="54">
        <f>3.226*0.4</f>
        <v>1.2904</v>
      </c>
      <c r="F739" s="42">
        <v>26.98</v>
      </c>
      <c r="G739" s="37">
        <f>TRUNC(E739*F739,2)</f>
        <v>34.81</v>
      </c>
    </row>
    <row r="740" spans="2:7" x14ac:dyDescent="0.25">
      <c r="B740" s="215"/>
      <c r="C740" s="25"/>
      <c r="D740" s="25"/>
      <c r="E740" s="26"/>
      <c r="F740" s="27" t="s">
        <v>179</v>
      </c>
      <c r="G740" s="40">
        <f>SUM(G739:G739)</f>
        <v>34.81</v>
      </c>
    </row>
    <row r="741" spans="2:7" ht="15.75" thickBot="1" x14ac:dyDescent="0.3">
      <c r="B741" s="215"/>
      <c r="C741" s="17"/>
      <c r="D741" s="25"/>
      <c r="E741" s="26"/>
      <c r="F741" s="16"/>
      <c r="G741" s="43"/>
    </row>
    <row r="742" spans="2:7" ht="15.75" thickBot="1" x14ac:dyDescent="0.3">
      <c r="B742" s="44" t="s">
        <v>240</v>
      </c>
      <c r="C742" s="45" t="s">
        <v>1092</v>
      </c>
      <c r="D742" s="46"/>
      <c r="E742" s="47"/>
      <c r="F742" s="16" t="s">
        <v>178</v>
      </c>
      <c r="G742" s="113">
        <f>G737+G740</f>
        <v>37.807720000000003</v>
      </c>
    </row>
    <row r="743" spans="2:7" x14ac:dyDescent="0.25">
      <c r="B743" s="30" t="s">
        <v>489</v>
      </c>
      <c r="C743" s="51" t="s">
        <v>381</v>
      </c>
      <c r="D743" s="32"/>
      <c r="E743" s="69" t="s">
        <v>382</v>
      </c>
      <c r="F743" s="33" t="s">
        <v>192</v>
      </c>
      <c r="G743" s="34" t="s">
        <v>214</v>
      </c>
    </row>
    <row r="744" spans="2:7" x14ac:dyDescent="0.25">
      <c r="B744" s="35" t="s">
        <v>0</v>
      </c>
      <c r="C744" s="20" t="s">
        <v>1</v>
      </c>
      <c r="D744" s="20" t="s">
        <v>190</v>
      </c>
      <c r="E744" s="59" t="s">
        <v>189</v>
      </c>
      <c r="F744" s="18" t="s">
        <v>188</v>
      </c>
      <c r="G744" s="64" t="s">
        <v>187</v>
      </c>
    </row>
    <row r="745" spans="2:7" x14ac:dyDescent="0.25">
      <c r="B745" s="358" t="s">
        <v>186</v>
      </c>
      <c r="C745" s="359"/>
      <c r="D745" s="216"/>
      <c r="E745" s="26"/>
      <c r="F745" s="36"/>
      <c r="G745" s="37"/>
    </row>
    <row r="746" spans="2:7" x14ac:dyDescent="0.25">
      <c r="B746" s="50">
        <v>88309</v>
      </c>
      <c r="C746" s="17" t="s">
        <v>215</v>
      </c>
      <c r="D746" s="216" t="s">
        <v>184</v>
      </c>
      <c r="E746" s="71">
        <f>0.2+0.2</f>
        <v>0.4</v>
      </c>
      <c r="F746" s="27">
        <v>21.74</v>
      </c>
      <c r="G746" s="37">
        <f>E746*F746</f>
        <v>8.6959999999999997</v>
      </c>
    </row>
    <row r="747" spans="2:7" x14ac:dyDescent="0.25">
      <c r="B747" s="50">
        <v>88316</v>
      </c>
      <c r="C747" s="17" t="s">
        <v>201</v>
      </c>
      <c r="D747" s="216" t="s">
        <v>184</v>
      </c>
      <c r="E747" s="71">
        <v>0.8</v>
      </c>
      <c r="F747" s="27">
        <v>16.21</v>
      </c>
      <c r="G747" s="37">
        <f>E747*F747</f>
        <v>12.968000000000002</v>
      </c>
    </row>
    <row r="748" spans="2:7" x14ac:dyDescent="0.25">
      <c r="B748" s="215"/>
      <c r="C748" s="25"/>
      <c r="D748" s="25"/>
      <c r="E748" s="68"/>
      <c r="F748" s="39" t="s">
        <v>183</v>
      </c>
      <c r="G748" s="40">
        <f>SUM(G746:G747)</f>
        <v>21.664000000000001</v>
      </c>
    </row>
    <row r="749" spans="2:7" x14ac:dyDescent="0.25">
      <c r="B749" s="358" t="s">
        <v>182</v>
      </c>
      <c r="C749" s="359"/>
      <c r="D749" s="216"/>
      <c r="E749" s="54"/>
      <c r="F749" s="36"/>
      <c r="G749" s="37"/>
    </row>
    <row r="750" spans="2:7" x14ac:dyDescent="0.25">
      <c r="B750" s="50">
        <v>370</v>
      </c>
      <c r="C750" s="17" t="s">
        <v>490</v>
      </c>
      <c r="D750" s="216" t="s">
        <v>253</v>
      </c>
      <c r="E750" s="118">
        <v>3.2849999999999997E-2</v>
      </c>
      <c r="F750" s="42">
        <v>55</v>
      </c>
      <c r="G750" s="37">
        <f>TRUNC(E750*F750,2)</f>
        <v>1.8</v>
      </c>
    </row>
    <row r="751" spans="2:7" x14ac:dyDescent="0.25">
      <c r="B751" s="50">
        <v>1379</v>
      </c>
      <c r="C751" s="17" t="s">
        <v>491</v>
      </c>
      <c r="D751" s="216" t="s">
        <v>2</v>
      </c>
      <c r="E751" s="54">
        <v>10</v>
      </c>
      <c r="F751" s="42">
        <v>0.48</v>
      </c>
      <c r="G751" s="37">
        <f>TRUNC(E751*F751,2)</f>
        <v>4.8</v>
      </c>
    </row>
    <row r="752" spans="2:7" x14ac:dyDescent="0.25">
      <c r="B752" s="50">
        <v>7317</v>
      </c>
      <c r="C752" s="17" t="s">
        <v>492</v>
      </c>
      <c r="D752" s="216" t="s">
        <v>2</v>
      </c>
      <c r="E752" s="54">
        <v>0.8</v>
      </c>
      <c r="F752" s="42">
        <v>22.63</v>
      </c>
      <c r="G752" s="37">
        <f>TRUNC(E752*F752,2)</f>
        <v>18.100000000000001</v>
      </c>
    </row>
    <row r="753" spans="2:7" x14ac:dyDescent="0.25">
      <c r="B753" s="50">
        <v>38366</v>
      </c>
      <c r="C753" s="17" t="s">
        <v>493</v>
      </c>
      <c r="D753" s="216" t="s">
        <v>206</v>
      </c>
      <c r="E753" s="54">
        <v>0.34499999999999997</v>
      </c>
      <c r="F753" s="42">
        <v>2.67</v>
      </c>
      <c r="G753" s="37">
        <f>TRUNC(E753*F753,2)</f>
        <v>0.92</v>
      </c>
    </row>
    <row r="754" spans="2:7" x14ac:dyDescent="0.25">
      <c r="B754" s="215"/>
      <c r="C754" s="25"/>
      <c r="D754" s="25"/>
      <c r="E754" s="26"/>
      <c r="F754" s="27" t="s">
        <v>179</v>
      </c>
      <c r="G754" s="40">
        <f>SUM(G750:G753)</f>
        <v>25.620000000000005</v>
      </c>
    </row>
    <row r="755" spans="2:7" ht="15.75" thickBot="1" x14ac:dyDescent="0.3">
      <c r="B755" s="215"/>
      <c r="C755" s="17"/>
      <c r="D755" s="25"/>
      <c r="E755" s="26"/>
      <c r="F755" s="16"/>
      <c r="G755" s="43"/>
    </row>
    <row r="756" spans="2:7" ht="15.75" thickBot="1" x14ac:dyDescent="0.3">
      <c r="B756" s="44" t="s">
        <v>240</v>
      </c>
      <c r="C756" s="45" t="s">
        <v>382</v>
      </c>
      <c r="D756" s="46"/>
      <c r="E756" s="47"/>
      <c r="F756" s="16" t="s">
        <v>178</v>
      </c>
      <c r="G756" s="113">
        <f>G748+G754</f>
        <v>47.284000000000006</v>
      </c>
    </row>
    <row r="757" spans="2:7" x14ac:dyDescent="0.25">
      <c r="B757" s="23" t="s">
        <v>61</v>
      </c>
      <c r="C757" s="22" t="s">
        <v>284</v>
      </c>
      <c r="D757" s="21"/>
      <c r="E757" s="21"/>
      <c r="F757" s="21"/>
      <c r="G757" s="21"/>
    </row>
    <row r="758" spans="2:7" ht="15.75" thickBot="1" x14ac:dyDescent="0.3">
      <c r="B758" s="23" t="s">
        <v>495</v>
      </c>
      <c r="C758" s="22" t="s">
        <v>286</v>
      </c>
      <c r="D758" s="21"/>
      <c r="E758" s="21"/>
      <c r="F758" s="21"/>
      <c r="G758" s="21"/>
    </row>
    <row r="759" spans="2:7" x14ac:dyDescent="0.25">
      <c r="B759" s="30" t="s">
        <v>285</v>
      </c>
      <c r="C759" s="51" t="s">
        <v>494</v>
      </c>
      <c r="D759" s="32"/>
      <c r="E759" s="69" t="s">
        <v>193</v>
      </c>
      <c r="F759" s="33" t="s">
        <v>192</v>
      </c>
      <c r="G759" s="34" t="s">
        <v>191</v>
      </c>
    </row>
    <row r="760" spans="2:7" x14ac:dyDescent="0.25">
      <c r="B760" s="35" t="s">
        <v>0</v>
      </c>
      <c r="C760" s="20" t="s">
        <v>1</v>
      </c>
      <c r="D760" s="20" t="s">
        <v>190</v>
      </c>
      <c r="E760" s="59" t="s">
        <v>189</v>
      </c>
      <c r="F760" s="18" t="s">
        <v>188</v>
      </c>
      <c r="G760" s="64" t="s">
        <v>187</v>
      </c>
    </row>
    <row r="761" spans="2:7" x14ac:dyDescent="0.25">
      <c r="B761" s="358" t="s">
        <v>186</v>
      </c>
      <c r="C761" s="359"/>
      <c r="D761" s="216"/>
      <c r="E761" s="26"/>
      <c r="F761" s="36"/>
      <c r="G761" s="37"/>
    </row>
    <row r="762" spans="2:7" x14ac:dyDescent="0.25">
      <c r="B762" s="50">
        <v>88267</v>
      </c>
      <c r="C762" s="17" t="s">
        <v>210</v>
      </c>
      <c r="D762" s="216" t="s">
        <v>184</v>
      </c>
      <c r="E762" s="54">
        <f>0.1755+0.78</f>
        <v>0.95550000000000002</v>
      </c>
      <c r="F762" s="27">
        <v>21.67</v>
      </c>
      <c r="G762" s="37">
        <f>E762*F762</f>
        <v>20.705685000000003</v>
      </c>
    </row>
    <row r="763" spans="2:7" x14ac:dyDescent="0.25">
      <c r="B763" s="50">
        <v>88316</v>
      </c>
      <c r="C763" s="17" t="s">
        <v>201</v>
      </c>
      <c r="D763" s="216" t="s">
        <v>184</v>
      </c>
      <c r="E763" s="26">
        <f>0.3448+0.44</f>
        <v>0.78479999999999994</v>
      </c>
      <c r="F763" s="27">
        <v>16.21</v>
      </c>
      <c r="G763" s="37">
        <f>E763*F763</f>
        <v>12.721608</v>
      </c>
    </row>
    <row r="764" spans="2:7" x14ac:dyDescent="0.25">
      <c r="B764" s="215"/>
      <c r="C764" s="25"/>
      <c r="D764" s="25"/>
      <c r="E764" s="53"/>
      <c r="F764" s="39" t="s">
        <v>183</v>
      </c>
      <c r="G764" s="40">
        <f>SUM(G762:G763)</f>
        <v>33.427293000000006</v>
      </c>
    </row>
    <row r="765" spans="2:7" x14ac:dyDescent="0.25">
      <c r="B765" s="358" t="s">
        <v>182</v>
      </c>
      <c r="C765" s="359"/>
      <c r="D765" s="216"/>
      <c r="E765" s="26"/>
      <c r="F765" s="36"/>
      <c r="G765" s="37"/>
    </row>
    <row r="766" spans="2:7" ht="22.5" x14ac:dyDescent="0.25">
      <c r="B766" s="50">
        <v>4384</v>
      </c>
      <c r="C766" s="17" t="s">
        <v>320</v>
      </c>
      <c r="D766" s="216" t="s">
        <v>180</v>
      </c>
      <c r="E766" s="54">
        <v>2</v>
      </c>
      <c r="F766" s="42">
        <v>12.15</v>
      </c>
      <c r="G766" s="37">
        <f>E766*F766</f>
        <v>24.3</v>
      </c>
    </row>
    <row r="767" spans="2:7" x14ac:dyDescent="0.25">
      <c r="B767" s="50">
        <v>6138</v>
      </c>
      <c r="C767" s="17" t="s">
        <v>321</v>
      </c>
      <c r="D767" s="216" t="s">
        <v>180</v>
      </c>
      <c r="E767" s="54">
        <v>1</v>
      </c>
      <c r="F767" s="42">
        <v>1.25</v>
      </c>
      <c r="G767" s="37">
        <f>E767*F767</f>
        <v>1.25</v>
      </c>
    </row>
    <row r="768" spans="2:7" x14ac:dyDescent="0.25">
      <c r="B768" s="50">
        <v>37329</v>
      </c>
      <c r="C768" s="17" t="s">
        <v>322</v>
      </c>
      <c r="D768" s="216" t="s">
        <v>2</v>
      </c>
      <c r="E768" s="58">
        <v>0.1469</v>
      </c>
      <c r="F768" s="42">
        <v>31.9</v>
      </c>
      <c r="G768" s="37">
        <f>E768*F768</f>
        <v>4.6861100000000002</v>
      </c>
    </row>
    <row r="769" spans="2:7" x14ac:dyDescent="0.25">
      <c r="B769" s="50">
        <v>10422</v>
      </c>
      <c r="C769" s="55" t="s">
        <v>1076</v>
      </c>
      <c r="D769" s="216" t="s">
        <v>180</v>
      </c>
      <c r="E769" s="54">
        <v>1</v>
      </c>
      <c r="F769" s="42">
        <v>314.62</v>
      </c>
      <c r="G769" s="37">
        <f>E769*F769</f>
        <v>314.62</v>
      </c>
    </row>
    <row r="770" spans="2:7" x14ac:dyDescent="0.25">
      <c r="B770" s="215"/>
      <c r="C770" s="25"/>
      <c r="D770" s="25"/>
      <c r="E770" s="26"/>
      <c r="F770" s="27" t="s">
        <v>179</v>
      </c>
      <c r="G770" s="40">
        <f>SUM(G766:G769)</f>
        <v>344.85611</v>
      </c>
    </row>
    <row r="771" spans="2:7" ht="15.75" thickBot="1" x14ac:dyDescent="0.3">
      <c r="B771" s="215"/>
      <c r="C771" s="17"/>
      <c r="D771" s="25"/>
      <c r="E771" s="26"/>
      <c r="F771" s="16"/>
      <c r="G771" s="43"/>
    </row>
    <row r="772" spans="2:7" ht="15.75" thickBot="1" x14ac:dyDescent="0.3">
      <c r="B772" s="44" t="s">
        <v>240</v>
      </c>
      <c r="C772" s="45" t="s">
        <v>898</v>
      </c>
      <c r="D772" s="46"/>
      <c r="E772" s="47"/>
      <c r="F772" s="16" t="s">
        <v>178</v>
      </c>
      <c r="G772" s="113">
        <f>G764+G770</f>
        <v>378.28340300000002</v>
      </c>
    </row>
    <row r="773" spans="2:7" x14ac:dyDescent="0.25">
      <c r="B773" s="30" t="s">
        <v>325</v>
      </c>
      <c r="C773" s="51" t="s">
        <v>496</v>
      </c>
      <c r="D773" s="32"/>
      <c r="E773" s="69" t="s">
        <v>193</v>
      </c>
      <c r="F773" s="33" t="s">
        <v>192</v>
      </c>
      <c r="G773" s="34" t="s">
        <v>191</v>
      </c>
    </row>
    <row r="774" spans="2:7" x14ac:dyDescent="0.25">
      <c r="B774" s="35" t="s">
        <v>0</v>
      </c>
      <c r="C774" s="20" t="s">
        <v>1</v>
      </c>
      <c r="D774" s="20" t="s">
        <v>190</v>
      </c>
      <c r="E774" s="59" t="s">
        <v>189</v>
      </c>
      <c r="F774" s="18" t="s">
        <v>188</v>
      </c>
      <c r="G774" s="64" t="s">
        <v>187</v>
      </c>
    </row>
    <row r="775" spans="2:7" x14ac:dyDescent="0.25">
      <c r="B775" s="358" t="s">
        <v>186</v>
      </c>
      <c r="C775" s="359"/>
      <c r="D775" s="216"/>
      <c r="E775" s="26"/>
      <c r="F775" s="36"/>
      <c r="G775" s="37"/>
    </row>
    <row r="776" spans="2:7" x14ac:dyDescent="0.25">
      <c r="B776" s="50">
        <v>88267</v>
      </c>
      <c r="C776" s="17" t="s">
        <v>210</v>
      </c>
      <c r="D776" s="216" t="s">
        <v>184</v>
      </c>
      <c r="E776" s="54">
        <f>0.1755+1.47</f>
        <v>1.6455</v>
      </c>
      <c r="F776" s="27">
        <v>21.67</v>
      </c>
      <c r="G776" s="37">
        <f>E776*F776</f>
        <v>35.657985000000004</v>
      </c>
    </row>
    <row r="777" spans="2:7" x14ac:dyDescent="0.25">
      <c r="B777" s="50">
        <v>88316</v>
      </c>
      <c r="C777" s="17" t="s">
        <v>201</v>
      </c>
      <c r="D777" s="216" t="s">
        <v>184</v>
      </c>
      <c r="E777" s="26">
        <f>0.3448+0.65</f>
        <v>0.99480000000000002</v>
      </c>
      <c r="F777" s="27">
        <v>16.21</v>
      </c>
      <c r="G777" s="37">
        <f>E777*F777</f>
        <v>16.125707999999999</v>
      </c>
    </row>
    <row r="778" spans="2:7" x14ac:dyDescent="0.25">
      <c r="B778" s="215"/>
      <c r="C778" s="25"/>
      <c r="D778" s="25"/>
      <c r="E778" s="53"/>
      <c r="F778" s="39" t="s">
        <v>183</v>
      </c>
      <c r="G778" s="40">
        <f>SUM(G776:G777)</f>
        <v>51.783693</v>
      </c>
    </row>
    <row r="779" spans="2:7" x14ac:dyDescent="0.25">
      <c r="B779" s="358" t="s">
        <v>182</v>
      </c>
      <c r="C779" s="359"/>
      <c r="D779" s="216"/>
      <c r="E779" s="26"/>
      <c r="F779" s="36"/>
      <c r="G779" s="37"/>
    </row>
    <row r="780" spans="2:7" ht="22.5" x14ac:dyDescent="0.25">
      <c r="B780" s="50">
        <v>4351</v>
      </c>
      <c r="C780" s="17" t="s">
        <v>323</v>
      </c>
      <c r="D780" s="216" t="s">
        <v>180</v>
      </c>
      <c r="E780" s="54">
        <v>6</v>
      </c>
      <c r="F780" s="42">
        <v>9.01</v>
      </c>
      <c r="G780" s="37">
        <f>E780*F780</f>
        <v>54.06</v>
      </c>
    </row>
    <row r="781" spans="2:7" x14ac:dyDescent="0.25">
      <c r="B781" s="50">
        <v>38643</v>
      </c>
      <c r="C781" s="17" t="s">
        <v>324</v>
      </c>
      <c r="D781" s="216" t="s">
        <v>180</v>
      </c>
      <c r="E781" s="54">
        <v>1</v>
      </c>
      <c r="F781" s="42">
        <v>37.36</v>
      </c>
      <c r="G781" s="37">
        <f>E781*F781</f>
        <v>37.36</v>
      </c>
    </row>
    <row r="782" spans="2:7" x14ac:dyDescent="0.25">
      <c r="B782" s="50">
        <v>37329</v>
      </c>
      <c r="C782" s="17" t="s">
        <v>322</v>
      </c>
      <c r="D782" s="216" t="s">
        <v>2</v>
      </c>
      <c r="E782" s="54">
        <v>0.14430000000000001</v>
      </c>
      <c r="F782" s="42">
        <v>31.9</v>
      </c>
      <c r="G782" s="37">
        <f>E782*F782</f>
        <v>4.6031700000000004</v>
      </c>
    </row>
    <row r="783" spans="2:7" x14ac:dyDescent="0.25">
      <c r="B783" s="50">
        <v>10426</v>
      </c>
      <c r="C783" s="55" t="s">
        <v>982</v>
      </c>
      <c r="D783" s="216" t="s">
        <v>180</v>
      </c>
      <c r="E783" s="54">
        <v>1</v>
      </c>
      <c r="F783" s="42">
        <v>174.62</v>
      </c>
      <c r="G783" s="37">
        <f>E783*F783</f>
        <v>174.62</v>
      </c>
    </row>
    <row r="784" spans="2:7" x14ac:dyDescent="0.25">
      <c r="B784" s="215"/>
      <c r="C784" s="25"/>
      <c r="D784" s="25"/>
      <c r="E784" s="26"/>
      <c r="F784" s="27" t="s">
        <v>179</v>
      </c>
      <c r="G784" s="40">
        <f>SUM(G780:G783)</f>
        <v>270.64317</v>
      </c>
    </row>
    <row r="785" spans="2:8" ht="15.75" thickBot="1" x14ac:dyDescent="0.3">
      <c r="B785" s="215"/>
      <c r="C785" s="17"/>
      <c r="D785" s="25"/>
      <c r="E785" s="26"/>
      <c r="F785" s="16"/>
      <c r="G785" s="43"/>
    </row>
    <row r="786" spans="2:8" ht="15.75" thickBot="1" x14ac:dyDescent="0.3">
      <c r="B786" s="44" t="s">
        <v>240</v>
      </c>
      <c r="C786" s="45" t="s">
        <v>909</v>
      </c>
      <c r="D786" s="46"/>
      <c r="E786" s="47"/>
      <c r="F786" s="16" t="s">
        <v>178</v>
      </c>
      <c r="G786" s="113">
        <f>G778+G784</f>
        <v>322.42686300000003</v>
      </c>
    </row>
    <row r="787" spans="2:8" x14ac:dyDescent="0.25">
      <c r="B787" s="30" t="s">
        <v>337</v>
      </c>
      <c r="C787" s="51" t="s">
        <v>1094</v>
      </c>
      <c r="D787" s="32"/>
      <c r="E787" s="69" t="s">
        <v>193</v>
      </c>
      <c r="F787" s="33" t="s">
        <v>192</v>
      </c>
      <c r="G787" s="34" t="s">
        <v>191</v>
      </c>
    </row>
    <row r="788" spans="2:8" x14ac:dyDescent="0.25">
      <c r="B788" s="35" t="s">
        <v>0</v>
      </c>
      <c r="C788" s="20" t="s">
        <v>1</v>
      </c>
      <c r="D788" s="20" t="s">
        <v>190</v>
      </c>
      <c r="E788" s="59" t="s">
        <v>189</v>
      </c>
      <c r="F788" s="18" t="s">
        <v>188</v>
      </c>
      <c r="G788" s="64" t="s">
        <v>187</v>
      </c>
    </row>
    <row r="789" spans="2:8" x14ac:dyDescent="0.25">
      <c r="B789" s="358" t="s">
        <v>186</v>
      </c>
      <c r="C789" s="359"/>
      <c r="D789" s="216"/>
      <c r="E789" s="26"/>
      <c r="F789" s="36"/>
      <c r="G789" s="37"/>
    </row>
    <row r="790" spans="2:8" ht="24" x14ac:dyDescent="0.25">
      <c r="B790" s="50">
        <v>88248</v>
      </c>
      <c r="C790" s="17" t="s">
        <v>211</v>
      </c>
      <c r="D790" s="216" t="s">
        <v>184</v>
      </c>
      <c r="E790" s="54">
        <f>0.5</f>
        <v>0.5</v>
      </c>
      <c r="F790" s="27">
        <v>16.89</v>
      </c>
      <c r="G790" s="37">
        <f>E790*F790</f>
        <v>8.4450000000000003</v>
      </c>
      <c r="H790" s="181" t="s">
        <v>904</v>
      </c>
    </row>
    <row r="791" spans="2:8" x14ac:dyDescent="0.25">
      <c r="B791" s="215"/>
      <c r="C791" s="25"/>
      <c r="D791" s="25"/>
      <c r="E791" s="53"/>
      <c r="F791" s="39" t="s">
        <v>183</v>
      </c>
      <c r="G791" s="40">
        <f>SUM(G790:G790)</f>
        <v>8.4450000000000003</v>
      </c>
    </row>
    <row r="792" spans="2:8" x14ac:dyDescent="0.25">
      <c r="B792" s="358" t="s">
        <v>182</v>
      </c>
      <c r="C792" s="359"/>
      <c r="D792" s="216"/>
      <c r="E792" s="26"/>
      <c r="F792" s="36"/>
      <c r="G792" s="37"/>
    </row>
    <row r="793" spans="2:8" x14ac:dyDescent="0.25">
      <c r="B793" s="215">
        <v>377</v>
      </c>
      <c r="C793" s="55" t="s">
        <v>983</v>
      </c>
      <c r="D793" s="216" t="s">
        <v>180</v>
      </c>
      <c r="E793" s="41">
        <v>1</v>
      </c>
      <c r="F793" s="42">
        <v>17.91</v>
      </c>
      <c r="G793" s="37">
        <f>E793*F793</f>
        <v>17.91</v>
      </c>
    </row>
    <row r="794" spans="2:8" x14ac:dyDescent="0.25">
      <c r="B794" s="215"/>
      <c r="C794" s="25"/>
      <c r="D794" s="25"/>
      <c r="E794" s="26"/>
      <c r="F794" s="27" t="s">
        <v>179</v>
      </c>
      <c r="G794" s="40">
        <f>SUM(G793:G793)</f>
        <v>17.91</v>
      </c>
    </row>
    <row r="795" spans="2:8" ht="15.75" thickBot="1" x14ac:dyDescent="0.3">
      <c r="B795" s="215"/>
      <c r="C795" s="17"/>
      <c r="D795" s="25"/>
      <c r="E795" s="26"/>
      <c r="F795" s="16"/>
      <c r="G795" s="43"/>
    </row>
    <row r="796" spans="2:8" ht="15.75" thickBot="1" x14ac:dyDescent="0.3">
      <c r="B796" s="44" t="s">
        <v>240</v>
      </c>
      <c r="C796" s="45" t="s">
        <v>984</v>
      </c>
      <c r="D796" s="46"/>
      <c r="E796" s="47"/>
      <c r="F796" s="16" t="s">
        <v>178</v>
      </c>
      <c r="G796" s="113">
        <f>G791+G794</f>
        <v>26.355</v>
      </c>
    </row>
    <row r="797" spans="2:8" x14ac:dyDescent="0.25">
      <c r="B797" s="30" t="s">
        <v>380</v>
      </c>
      <c r="C797" s="51" t="s">
        <v>903</v>
      </c>
      <c r="D797" s="32"/>
      <c r="E797" s="69" t="s">
        <v>193</v>
      </c>
      <c r="F797" s="33" t="s">
        <v>192</v>
      </c>
      <c r="G797" s="34" t="s">
        <v>191</v>
      </c>
    </row>
    <row r="798" spans="2:8" x14ac:dyDescent="0.25">
      <c r="B798" s="35" t="s">
        <v>0</v>
      </c>
      <c r="C798" s="20" t="s">
        <v>1</v>
      </c>
      <c r="D798" s="20" t="s">
        <v>190</v>
      </c>
      <c r="E798" s="59" t="s">
        <v>189</v>
      </c>
      <c r="F798" s="18" t="s">
        <v>188</v>
      </c>
      <c r="G798" s="64" t="s">
        <v>187</v>
      </c>
    </row>
    <row r="799" spans="2:8" x14ac:dyDescent="0.25">
      <c r="B799" s="358" t="s">
        <v>186</v>
      </c>
      <c r="C799" s="359"/>
      <c r="D799" s="216"/>
      <c r="E799" s="26"/>
      <c r="F799" s="36"/>
      <c r="G799" s="37"/>
    </row>
    <row r="800" spans="2:8" x14ac:dyDescent="0.25">
      <c r="B800" s="50">
        <v>88267</v>
      </c>
      <c r="C800" s="17" t="s">
        <v>210</v>
      </c>
      <c r="D800" s="216" t="s">
        <v>184</v>
      </c>
      <c r="E800" s="54">
        <f>0.128+0.1</f>
        <v>0.22800000000000001</v>
      </c>
      <c r="F800" s="27">
        <v>21.67</v>
      </c>
      <c r="G800" s="37">
        <f>E800*F800</f>
        <v>4.9407600000000009</v>
      </c>
      <c r="H800" s="181"/>
    </row>
    <row r="801" spans="1:8" s="179" customFormat="1" x14ac:dyDescent="0.25">
      <c r="A801" s="161"/>
      <c r="B801" s="50">
        <v>88316</v>
      </c>
      <c r="C801" s="17" t="s">
        <v>201</v>
      </c>
      <c r="D801" s="216" t="s">
        <v>184</v>
      </c>
      <c r="E801" s="26">
        <f>0.2514+0.03</f>
        <v>0.28139999999999998</v>
      </c>
      <c r="F801" s="27">
        <v>16.21</v>
      </c>
      <c r="G801" s="37">
        <f>E801*F801</f>
        <v>4.5614939999999997</v>
      </c>
      <c r="H801" s="180"/>
    </row>
    <row r="802" spans="1:8" x14ac:dyDescent="0.25">
      <c r="B802" s="215"/>
      <c r="C802" s="25"/>
      <c r="D802" s="25"/>
      <c r="E802" s="53"/>
      <c r="F802" s="39" t="s">
        <v>183</v>
      </c>
      <c r="G802" s="40">
        <f>SUM(G800:G801)</f>
        <v>9.5022540000000006</v>
      </c>
    </row>
    <row r="803" spans="1:8" x14ac:dyDescent="0.25">
      <c r="B803" s="358" t="s">
        <v>182</v>
      </c>
      <c r="C803" s="359"/>
      <c r="D803" s="216"/>
      <c r="E803" s="26"/>
      <c r="F803" s="36"/>
      <c r="G803" s="37"/>
    </row>
    <row r="804" spans="1:8" x14ac:dyDescent="0.25">
      <c r="B804" s="50">
        <v>38189</v>
      </c>
      <c r="C804" s="17" t="s">
        <v>497</v>
      </c>
      <c r="D804" s="216" t="s">
        <v>180</v>
      </c>
      <c r="E804" s="41">
        <v>1</v>
      </c>
      <c r="F804" s="42">
        <v>177.24</v>
      </c>
      <c r="G804" s="37">
        <f>E804*F804</f>
        <v>177.24</v>
      </c>
    </row>
    <row r="805" spans="1:8" x14ac:dyDescent="0.25">
      <c r="B805" s="215"/>
      <c r="C805" s="25"/>
      <c r="D805" s="25"/>
      <c r="E805" s="26"/>
      <c r="F805" s="27" t="s">
        <v>179</v>
      </c>
      <c r="G805" s="40">
        <f>SUM(G804:G804)</f>
        <v>177.24</v>
      </c>
    </row>
    <row r="806" spans="1:8" ht="15.75" thickBot="1" x14ac:dyDescent="0.3">
      <c r="B806" s="215"/>
      <c r="C806" s="17"/>
      <c r="D806" s="25"/>
      <c r="E806" s="26"/>
      <c r="F806" s="16"/>
      <c r="G806" s="43"/>
    </row>
    <row r="807" spans="1:8" ht="15.75" thickBot="1" x14ac:dyDescent="0.3">
      <c r="B807" s="44" t="s">
        <v>240</v>
      </c>
      <c r="C807" s="45" t="s">
        <v>910</v>
      </c>
      <c r="D807" s="46"/>
      <c r="E807" s="47"/>
      <c r="F807" s="16" t="s">
        <v>178</v>
      </c>
      <c r="G807" s="113">
        <f>G802+G805</f>
        <v>186.742254</v>
      </c>
    </row>
    <row r="808" spans="1:8" ht="33.75" x14ac:dyDescent="0.25">
      <c r="B808" s="30" t="s">
        <v>326</v>
      </c>
      <c r="C808" s="51" t="s">
        <v>905</v>
      </c>
      <c r="D808" s="32"/>
      <c r="E808" s="69" t="s">
        <v>193</v>
      </c>
      <c r="F808" s="33" t="s">
        <v>192</v>
      </c>
      <c r="G808" s="34" t="s">
        <v>191</v>
      </c>
    </row>
    <row r="809" spans="1:8" x14ac:dyDescent="0.25">
      <c r="B809" s="35" t="s">
        <v>0</v>
      </c>
      <c r="C809" s="20" t="s">
        <v>1</v>
      </c>
      <c r="D809" s="20" t="s">
        <v>190</v>
      </c>
      <c r="E809" s="59" t="s">
        <v>189</v>
      </c>
      <c r="F809" s="18" t="s">
        <v>188</v>
      </c>
      <c r="G809" s="64" t="s">
        <v>187</v>
      </c>
    </row>
    <row r="810" spans="1:8" x14ac:dyDescent="0.25">
      <c r="B810" s="358" t="s">
        <v>186</v>
      </c>
      <c r="C810" s="359"/>
      <c r="D810" s="216"/>
      <c r="E810" s="26"/>
      <c r="F810" s="36"/>
      <c r="G810" s="37"/>
    </row>
    <row r="811" spans="1:8" ht="22.5" x14ac:dyDescent="0.25">
      <c r="B811" s="50">
        <v>95541</v>
      </c>
      <c r="C811" s="17" t="s">
        <v>911</v>
      </c>
      <c r="D811" s="216" t="s">
        <v>180</v>
      </c>
      <c r="E811" s="54">
        <v>2</v>
      </c>
      <c r="F811" s="27">
        <v>3.89</v>
      </c>
      <c r="G811" s="37">
        <f>E811*F811</f>
        <v>7.78</v>
      </c>
      <c r="H811" s="181"/>
    </row>
    <row r="812" spans="1:8" s="179" customFormat="1" x14ac:dyDescent="0.25">
      <c r="A812" s="161"/>
      <c r="B812" s="50">
        <v>88267</v>
      </c>
      <c r="C812" s="17" t="s">
        <v>210</v>
      </c>
      <c r="D812" s="216" t="s">
        <v>184</v>
      </c>
      <c r="E812" s="54">
        <v>0.128</v>
      </c>
      <c r="F812" s="27">
        <v>21.67</v>
      </c>
      <c r="G812" s="37">
        <f>E812*F812</f>
        <v>2.7737600000000002</v>
      </c>
      <c r="H812" s="181"/>
    </row>
    <row r="813" spans="1:8" s="179" customFormat="1" x14ac:dyDescent="0.25">
      <c r="A813" s="161"/>
      <c r="B813" s="50">
        <v>88316</v>
      </c>
      <c r="C813" s="17" t="s">
        <v>201</v>
      </c>
      <c r="D813" s="216" t="s">
        <v>184</v>
      </c>
      <c r="E813" s="26">
        <v>0.25140000000000001</v>
      </c>
      <c r="F813" s="27">
        <v>16.21</v>
      </c>
      <c r="G813" s="37">
        <f>E813*F813</f>
        <v>4.0751940000000006</v>
      </c>
      <c r="H813" s="180"/>
    </row>
    <row r="814" spans="1:8" x14ac:dyDescent="0.25">
      <c r="B814" s="215"/>
      <c r="C814" s="25"/>
      <c r="D814" s="25"/>
      <c r="E814" s="53"/>
      <c r="F814" s="39" t="s">
        <v>183</v>
      </c>
      <c r="G814" s="40">
        <f>SUM(G811:G813)</f>
        <v>14.628954</v>
      </c>
    </row>
    <row r="815" spans="1:8" x14ac:dyDescent="0.25">
      <c r="B815" s="358" t="s">
        <v>182</v>
      </c>
      <c r="C815" s="359"/>
      <c r="D815" s="216"/>
      <c r="E815" s="26"/>
      <c r="F815" s="36"/>
      <c r="G815" s="37"/>
    </row>
    <row r="816" spans="1:8" s="137" customFormat="1" ht="22.5" x14ac:dyDescent="0.25">
      <c r="A816" s="161"/>
      <c r="B816" s="215">
        <v>11758</v>
      </c>
      <c r="C816" s="117" t="s">
        <v>788</v>
      </c>
      <c r="D816" s="216" t="s">
        <v>180</v>
      </c>
      <c r="E816" s="26">
        <f>1/3</f>
        <v>0.33333333333333331</v>
      </c>
      <c r="F816" s="42">
        <v>55.9</v>
      </c>
      <c r="G816" s="37">
        <f>E816*F816</f>
        <v>18.633333333333333</v>
      </c>
      <c r="H816" s="180"/>
    </row>
    <row r="817" spans="1:8" s="137" customFormat="1" x14ac:dyDescent="0.25">
      <c r="A817" s="161"/>
      <c r="B817" s="215">
        <v>37400</v>
      </c>
      <c r="C817" s="117" t="s">
        <v>789</v>
      </c>
      <c r="D817" s="216" t="s">
        <v>180</v>
      </c>
      <c r="E817" s="26">
        <f>1/3</f>
        <v>0.33333333333333331</v>
      </c>
      <c r="F817" s="42">
        <v>58.2</v>
      </c>
      <c r="G817" s="37">
        <f>E817*F817</f>
        <v>19.399999999999999</v>
      </c>
      <c r="H817" s="180"/>
    </row>
    <row r="818" spans="1:8" x14ac:dyDescent="0.25">
      <c r="B818" s="50">
        <v>37401</v>
      </c>
      <c r="C818" s="17" t="s">
        <v>498</v>
      </c>
      <c r="D818" s="216" t="s">
        <v>180</v>
      </c>
      <c r="E818" s="26">
        <f>1/3</f>
        <v>0.33333333333333331</v>
      </c>
      <c r="F818" s="42">
        <v>58.2</v>
      </c>
      <c r="G818" s="37">
        <f>E818*F818</f>
        <v>19.399999999999999</v>
      </c>
    </row>
    <row r="819" spans="1:8" x14ac:dyDescent="0.25">
      <c r="B819" s="215"/>
      <c r="C819" s="25"/>
      <c r="D819" s="25"/>
      <c r="E819" s="26"/>
      <c r="F819" s="27" t="s">
        <v>179</v>
      </c>
      <c r="G819" s="40">
        <f>SUM(G816:G818)</f>
        <v>57.43333333333333</v>
      </c>
    </row>
    <row r="820" spans="1:8" ht="15.75" thickBot="1" x14ac:dyDescent="0.3">
      <c r="B820" s="215"/>
      <c r="C820" s="17"/>
      <c r="D820" s="25"/>
      <c r="E820" s="26"/>
      <c r="F820" s="16"/>
      <c r="G820" s="43"/>
    </row>
    <row r="821" spans="1:8" ht="15.75" thickBot="1" x14ac:dyDescent="0.3">
      <c r="B821" s="44" t="s">
        <v>240</v>
      </c>
      <c r="C821" s="45" t="s">
        <v>912</v>
      </c>
      <c r="D821" s="46"/>
      <c r="E821" s="47"/>
      <c r="F821" s="16" t="s">
        <v>178</v>
      </c>
      <c r="G821" s="113">
        <f>G814+G819</f>
        <v>72.06228733333333</v>
      </c>
    </row>
    <row r="822" spans="1:8" x14ac:dyDescent="0.25">
      <c r="B822" s="30" t="s">
        <v>340</v>
      </c>
      <c r="C822" s="51" t="s">
        <v>906</v>
      </c>
      <c r="D822" s="32"/>
      <c r="E822" s="69" t="s">
        <v>193</v>
      </c>
      <c r="F822" s="33" t="s">
        <v>192</v>
      </c>
      <c r="G822" s="34" t="s">
        <v>191</v>
      </c>
    </row>
    <row r="823" spans="1:8" x14ac:dyDescent="0.25">
      <c r="B823" s="35" t="s">
        <v>0</v>
      </c>
      <c r="C823" s="20" t="s">
        <v>1</v>
      </c>
      <c r="D823" s="20" t="s">
        <v>190</v>
      </c>
      <c r="E823" s="59" t="s">
        <v>189</v>
      </c>
      <c r="F823" s="18" t="s">
        <v>188</v>
      </c>
      <c r="G823" s="64" t="s">
        <v>187</v>
      </c>
    </row>
    <row r="824" spans="1:8" x14ac:dyDescent="0.25">
      <c r="B824" s="358" t="s">
        <v>186</v>
      </c>
      <c r="C824" s="359"/>
      <c r="D824" s="216"/>
      <c r="E824" s="26"/>
      <c r="F824" s="36"/>
      <c r="G824" s="37"/>
    </row>
    <row r="825" spans="1:8" x14ac:dyDescent="0.25">
      <c r="B825" s="50">
        <v>88267</v>
      </c>
      <c r="C825" s="17" t="s">
        <v>210</v>
      </c>
      <c r="D825" s="216" t="s">
        <v>184</v>
      </c>
      <c r="E825" s="54">
        <f>15/60</f>
        <v>0.25</v>
      </c>
      <c r="F825" s="27">
        <v>19.079999999999998</v>
      </c>
      <c r="G825" s="37">
        <f>E825*F825</f>
        <v>4.7699999999999996</v>
      </c>
      <c r="H825" s="181" t="s">
        <v>913</v>
      </c>
    </row>
    <row r="826" spans="1:8" x14ac:dyDescent="0.25">
      <c r="B826" s="215"/>
      <c r="C826" s="25"/>
      <c r="D826" s="25"/>
      <c r="E826" s="53"/>
      <c r="F826" s="39" t="s">
        <v>183</v>
      </c>
      <c r="G826" s="40">
        <f>SUM(G825:G825)</f>
        <v>4.7699999999999996</v>
      </c>
    </row>
    <row r="827" spans="1:8" x14ac:dyDescent="0.25">
      <c r="B827" s="358" t="s">
        <v>182</v>
      </c>
      <c r="C827" s="359"/>
      <c r="D827" s="216"/>
      <c r="E827" s="26"/>
      <c r="F827" s="36"/>
      <c r="G827" s="37"/>
    </row>
    <row r="828" spans="1:8" x14ac:dyDescent="0.25">
      <c r="A828" s="240"/>
      <c r="B828" s="215" t="str">
        <f>'MAPA COTAÇÃO'!B93</f>
        <v>COT-20</v>
      </c>
      <c r="C828" s="55" t="str">
        <f>'MAPA COTAÇÃO'!B98</f>
        <v xml:space="preserve">VEDANTE DE BORRACHA PARA TORNEIRA </v>
      </c>
      <c r="D828" s="216" t="str">
        <f>'MAPA COTAÇÃO'!D98</f>
        <v>UNID</v>
      </c>
      <c r="E828" s="41">
        <v>1</v>
      </c>
      <c r="F828" s="42">
        <f>'MAPA COTAÇÃO'!J98</f>
        <v>1</v>
      </c>
      <c r="G828" s="37">
        <f>E828*F828</f>
        <v>1</v>
      </c>
    </row>
    <row r="829" spans="1:8" x14ac:dyDescent="0.25">
      <c r="B829" s="215"/>
      <c r="C829" s="25"/>
      <c r="D829" s="25"/>
      <c r="E829" s="26"/>
      <c r="F829" s="27" t="s">
        <v>179</v>
      </c>
      <c r="G829" s="40">
        <f>SUM(G828:G828)</f>
        <v>1</v>
      </c>
    </row>
    <row r="830" spans="1:8" ht="15.75" thickBot="1" x14ac:dyDescent="0.3">
      <c r="B830" s="215"/>
      <c r="C830" s="17" t="s">
        <v>682</v>
      </c>
      <c r="D830" s="25"/>
      <c r="E830" s="26"/>
      <c r="F830" s="16"/>
      <c r="G830" s="43"/>
    </row>
    <row r="831" spans="1:8" ht="15.75" thickBot="1" x14ac:dyDescent="0.3">
      <c r="B831" s="44" t="s">
        <v>240</v>
      </c>
      <c r="C831" s="45" t="s">
        <v>193</v>
      </c>
      <c r="D831" s="46"/>
      <c r="E831" s="47"/>
      <c r="F831" s="16" t="s">
        <v>178</v>
      </c>
      <c r="G831" s="113">
        <f>G826+G829</f>
        <v>5.77</v>
      </c>
    </row>
    <row r="832" spans="1:8" x14ac:dyDescent="0.25">
      <c r="B832" s="30" t="s">
        <v>341</v>
      </c>
      <c r="C832" s="51" t="s">
        <v>908</v>
      </c>
      <c r="D832" s="32"/>
      <c r="E832" s="69" t="s">
        <v>193</v>
      </c>
      <c r="F832" s="33" t="s">
        <v>192</v>
      </c>
      <c r="G832" s="34" t="s">
        <v>191</v>
      </c>
    </row>
    <row r="833" spans="1:8" x14ac:dyDescent="0.25">
      <c r="B833" s="35" t="s">
        <v>0</v>
      </c>
      <c r="C833" s="20" t="s">
        <v>1</v>
      </c>
      <c r="D833" s="20" t="s">
        <v>190</v>
      </c>
      <c r="E833" s="59" t="s">
        <v>189</v>
      </c>
      <c r="F833" s="18" t="s">
        <v>188</v>
      </c>
      <c r="G833" s="64" t="s">
        <v>187</v>
      </c>
    </row>
    <row r="834" spans="1:8" x14ac:dyDescent="0.25">
      <c r="B834" s="358" t="s">
        <v>186</v>
      </c>
      <c r="C834" s="359"/>
      <c r="D834" s="216"/>
      <c r="E834" s="26"/>
      <c r="F834" s="36"/>
      <c r="G834" s="37"/>
    </row>
    <row r="835" spans="1:8" ht="24" x14ac:dyDescent="0.25">
      <c r="B835" s="50">
        <v>88267</v>
      </c>
      <c r="C835" s="17" t="s">
        <v>210</v>
      </c>
      <c r="D835" s="216" t="s">
        <v>184</v>
      </c>
      <c r="E835" s="54">
        <f>45/60</f>
        <v>0.75</v>
      </c>
      <c r="F835" s="27">
        <v>21.67</v>
      </c>
      <c r="G835" s="37">
        <f>E835*F835</f>
        <v>16.252500000000001</v>
      </c>
      <c r="H835" s="181" t="s">
        <v>907</v>
      </c>
    </row>
    <row r="836" spans="1:8" x14ac:dyDescent="0.25">
      <c r="B836" s="215"/>
      <c r="C836" s="25"/>
      <c r="D836" s="25"/>
      <c r="E836" s="68"/>
      <c r="F836" s="39" t="s">
        <v>183</v>
      </c>
      <c r="G836" s="40">
        <f>SUM(G835:G835)</f>
        <v>16.252500000000001</v>
      </c>
    </row>
    <row r="837" spans="1:8" x14ac:dyDescent="0.25">
      <c r="B837" s="358" t="s">
        <v>182</v>
      </c>
      <c r="C837" s="359"/>
      <c r="D837" s="216"/>
      <c r="E837" s="54"/>
      <c r="F837" s="36"/>
      <c r="G837" s="37"/>
    </row>
    <row r="838" spans="1:8" x14ac:dyDescent="0.25">
      <c r="A838" s="240"/>
      <c r="B838" s="215" t="str">
        <f>'MAPA COTAÇÃO'!B100</f>
        <v>COT-21</v>
      </c>
      <c r="C838" s="55" t="str">
        <f>'MAPA COTAÇÃO'!B105</f>
        <v xml:space="preserve">KIT UNIVERSAL DE REPARO DA CAIXA ACOPLADA </v>
      </c>
      <c r="D838" s="216" t="str">
        <f>'MAPA COTAÇÃO'!D105</f>
        <v>UNID</v>
      </c>
      <c r="E838" s="71">
        <v>1</v>
      </c>
      <c r="F838" s="42">
        <f>'MAPA COTAÇÃO'!J105</f>
        <v>124.18</v>
      </c>
      <c r="G838" s="37">
        <f>E838*F838</f>
        <v>124.18</v>
      </c>
    </row>
    <row r="839" spans="1:8" x14ac:dyDescent="0.25">
      <c r="B839" s="215"/>
      <c r="C839" s="25"/>
      <c r="D839" s="25"/>
      <c r="E839" s="26"/>
      <c r="F839" s="27" t="s">
        <v>179</v>
      </c>
      <c r="G839" s="40">
        <f>SUM(G838:G838)</f>
        <v>124.18</v>
      </c>
    </row>
    <row r="840" spans="1:8" ht="15.75" thickBot="1" x14ac:dyDescent="0.3">
      <c r="B840" s="215"/>
      <c r="C840" s="17" t="s">
        <v>682</v>
      </c>
      <c r="D840" s="25"/>
      <c r="E840" s="26"/>
      <c r="F840" s="16"/>
      <c r="G840" s="43"/>
    </row>
    <row r="841" spans="1:8" ht="15.75" thickBot="1" x14ac:dyDescent="0.3">
      <c r="B841" s="44" t="s">
        <v>240</v>
      </c>
      <c r="C841" s="45" t="s">
        <v>193</v>
      </c>
      <c r="D841" s="46"/>
      <c r="E841" s="47"/>
      <c r="F841" s="16" t="s">
        <v>178</v>
      </c>
      <c r="G841" s="113">
        <f>G836+G839</f>
        <v>140.4325</v>
      </c>
    </row>
    <row r="842" spans="1:8" x14ac:dyDescent="0.25">
      <c r="B842" s="30" t="s">
        <v>500</v>
      </c>
      <c r="C842" s="51" t="s">
        <v>968</v>
      </c>
      <c r="D842" s="32"/>
      <c r="E842" s="69" t="s">
        <v>193</v>
      </c>
      <c r="F842" s="33" t="s">
        <v>192</v>
      </c>
      <c r="G842" s="34" t="s">
        <v>191</v>
      </c>
    </row>
    <row r="843" spans="1:8" x14ac:dyDescent="0.25">
      <c r="B843" s="35" t="s">
        <v>0</v>
      </c>
      <c r="C843" s="20" t="s">
        <v>1</v>
      </c>
      <c r="D843" s="20" t="s">
        <v>190</v>
      </c>
      <c r="E843" s="59" t="s">
        <v>189</v>
      </c>
      <c r="F843" s="18" t="s">
        <v>188</v>
      </c>
      <c r="G843" s="64" t="s">
        <v>187</v>
      </c>
    </row>
    <row r="844" spans="1:8" x14ac:dyDescent="0.25">
      <c r="B844" s="358" t="s">
        <v>186</v>
      </c>
      <c r="C844" s="359"/>
      <c r="D844" s="216"/>
      <c r="E844" s="26"/>
      <c r="F844" s="36"/>
      <c r="G844" s="37"/>
    </row>
    <row r="845" spans="1:8" ht="24" x14ac:dyDescent="0.25">
      <c r="B845" s="50">
        <v>88267</v>
      </c>
      <c r="C845" s="17" t="s">
        <v>210</v>
      </c>
      <c r="D845" s="216" t="s">
        <v>184</v>
      </c>
      <c r="E845" s="54">
        <f>45/60</f>
        <v>0.75</v>
      </c>
      <c r="F845" s="27">
        <v>21.67</v>
      </c>
      <c r="G845" s="37">
        <f>E845*F845</f>
        <v>16.252500000000001</v>
      </c>
      <c r="H845" s="181" t="s">
        <v>907</v>
      </c>
    </row>
    <row r="846" spans="1:8" x14ac:dyDescent="0.25">
      <c r="B846" s="215"/>
      <c r="C846" s="25"/>
      <c r="D846" s="25"/>
      <c r="E846" s="53"/>
      <c r="F846" s="39" t="s">
        <v>183</v>
      </c>
      <c r="G846" s="40">
        <f>SUM(G845:G845)</f>
        <v>16.252500000000001</v>
      </c>
    </row>
    <row r="847" spans="1:8" x14ac:dyDescent="0.25">
      <c r="B847" s="358" t="s">
        <v>182</v>
      </c>
      <c r="C847" s="359"/>
      <c r="D847" s="216"/>
      <c r="E847" s="26"/>
      <c r="F847" s="36"/>
      <c r="G847" s="37"/>
    </row>
    <row r="848" spans="1:8" x14ac:dyDescent="0.25">
      <c r="A848" s="240"/>
      <c r="B848" s="215" t="str">
        <f>'MAPA COTAÇÃO'!B107</f>
        <v>COT-22</v>
      </c>
      <c r="C848" s="55" t="str">
        <f>'MAPA COTAÇÃO'!B112</f>
        <v>REPARO DA VALVULA DE DESCARGA DECA</v>
      </c>
      <c r="D848" s="216" t="str">
        <f>'MAPA COTAÇÃO'!D112</f>
        <v>UNID</v>
      </c>
      <c r="E848" s="41">
        <v>1</v>
      </c>
      <c r="F848" s="42">
        <f>'MAPA COTAÇÃO'!J112</f>
        <v>34.9</v>
      </c>
      <c r="G848" s="37">
        <f>E848*F848</f>
        <v>34.9</v>
      </c>
    </row>
    <row r="849" spans="2:8" x14ac:dyDescent="0.25">
      <c r="B849" s="215"/>
      <c r="C849" s="25"/>
      <c r="D849" s="25"/>
      <c r="E849" s="26"/>
      <c r="F849" s="27" t="s">
        <v>179</v>
      </c>
      <c r="G849" s="40">
        <f>SUM(G848:G848)</f>
        <v>34.9</v>
      </c>
    </row>
    <row r="850" spans="2:8" ht="15.75" thickBot="1" x14ac:dyDescent="0.3">
      <c r="B850" s="215"/>
      <c r="C850" s="17" t="s">
        <v>682</v>
      </c>
      <c r="D850" s="25"/>
      <c r="E850" s="26"/>
      <c r="F850" s="16"/>
      <c r="G850" s="43"/>
    </row>
    <row r="851" spans="2:8" ht="15.75" thickBot="1" x14ac:dyDescent="0.3">
      <c r="B851" s="44" t="s">
        <v>240</v>
      </c>
      <c r="C851" s="45" t="s">
        <v>193</v>
      </c>
      <c r="D851" s="46"/>
      <c r="E851" s="47"/>
      <c r="F851" s="16" t="s">
        <v>178</v>
      </c>
      <c r="G851" s="113">
        <f>G846+G849</f>
        <v>51.152500000000003</v>
      </c>
    </row>
    <row r="852" spans="2:8" ht="22.5" x14ac:dyDescent="0.25">
      <c r="B852" s="30" t="s">
        <v>343</v>
      </c>
      <c r="C852" s="51" t="s">
        <v>902</v>
      </c>
      <c r="D852" s="32"/>
      <c r="E852" s="69" t="s">
        <v>503</v>
      </c>
      <c r="F852" s="33" t="s">
        <v>192</v>
      </c>
      <c r="G852" s="34" t="s">
        <v>191</v>
      </c>
    </row>
    <row r="853" spans="2:8" x14ac:dyDescent="0.25">
      <c r="B853" s="35" t="s">
        <v>0</v>
      </c>
      <c r="C853" s="20" t="s">
        <v>1</v>
      </c>
      <c r="D853" s="20" t="s">
        <v>190</v>
      </c>
      <c r="E853" s="59" t="s">
        <v>189</v>
      </c>
      <c r="F853" s="18" t="s">
        <v>188</v>
      </c>
      <c r="G853" s="64" t="s">
        <v>187</v>
      </c>
    </row>
    <row r="854" spans="2:8" x14ac:dyDescent="0.25">
      <c r="B854" s="358" t="s">
        <v>186</v>
      </c>
      <c r="C854" s="359"/>
      <c r="D854" s="216"/>
      <c r="E854" s="26"/>
      <c r="F854" s="36"/>
      <c r="G854" s="37"/>
    </row>
    <row r="855" spans="2:8" x14ac:dyDescent="0.25">
      <c r="B855" s="50">
        <v>88316</v>
      </c>
      <c r="C855" s="17" t="s">
        <v>201</v>
      </c>
      <c r="D855" s="216" t="s">
        <v>184</v>
      </c>
      <c r="E855" s="54">
        <f>0.2514+0.7</f>
        <v>0.95140000000000002</v>
      </c>
      <c r="F855" s="27">
        <v>16.21</v>
      </c>
      <c r="G855" s="37">
        <f>E855*F855</f>
        <v>15.422194000000001</v>
      </c>
      <c r="H855" s="181"/>
    </row>
    <row r="856" spans="2:8" x14ac:dyDescent="0.25">
      <c r="B856" s="50">
        <v>88267</v>
      </c>
      <c r="C856" s="17" t="s">
        <v>210</v>
      </c>
      <c r="D856" s="216" t="s">
        <v>184</v>
      </c>
      <c r="E856" s="54">
        <f>0.128+0.85</f>
        <v>0.97799999999999998</v>
      </c>
      <c r="F856" s="27">
        <v>21.67</v>
      </c>
      <c r="G856" s="37">
        <f>E856*F856</f>
        <v>21.193260000000002</v>
      </c>
      <c r="H856" s="181"/>
    </row>
    <row r="857" spans="2:8" x14ac:dyDescent="0.25">
      <c r="B857" s="215"/>
      <c r="C857" s="25"/>
      <c r="D857" s="25"/>
      <c r="E857" s="53"/>
      <c r="F857" s="39" t="s">
        <v>183</v>
      </c>
      <c r="G857" s="40">
        <f>SUM(G855:G856)</f>
        <v>36.615454</v>
      </c>
    </row>
    <row r="858" spans="2:8" x14ac:dyDescent="0.25">
      <c r="B858" s="358" t="s">
        <v>182</v>
      </c>
      <c r="C858" s="359"/>
      <c r="D858" s="216"/>
      <c r="E858" s="26"/>
      <c r="F858" s="36"/>
      <c r="G858" s="37"/>
    </row>
    <row r="859" spans="2:8" x14ac:dyDescent="0.25">
      <c r="B859" s="50">
        <v>13</v>
      </c>
      <c r="C859" s="55" t="s">
        <v>501</v>
      </c>
      <c r="D859" s="216" t="s">
        <v>2</v>
      </c>
      <c r="E859" s="71">
        <v>0.12</v>
      </c>
      <c r="F859" s="42">
        <v>11.99</v>
      </c>
      <c r="G859" s="37">
        <f>E859*F859</f>
        <v>1.4388000000000001</v>
      </c>
    </row>
    <row r="860" spans="2:8" x14ac:dyDescent="0.25">
      <c r="B860" s="50">
        <v>7307</v>
      </c>
      <c r="C860" s="55" t="s">
        <v>435</v>
      </c>
      <c r="D860" s="216" t="s">
        <v>213</v>
      </c>
      <c r="E860" s="71">
        <v>0.08</v>
      </c>
      <c r="F860" s="42">
        <v>22.51</v>
      </c>
      <c r="G860" s="37">
        <f>E860*F860</f>
        <v>1.8008000000000002</v>
      </c>
    </row>
    <row r="861" spans="2:8" x14ac:dyDescent="0.25">
      <c r="B861" s="50">
        <v>10228</v>
      </c>
      <c r="C861" s="55" t="s">
        <v>502</v>
      </c>
      <c r="D861" s="216" t="s">
        <v>180</v>
      </c>
      <c r="E861" s="71">
        <v>1</v>
      </c>
      <c r="F861" s="42">
        <v>149.36000000000001</v>
      </c>
      <c r="G861" s="37">
        <f>E861*F861</f>
        <v>149.36000000000001</v>
      </c>
    </row>
    <row r="862" spans="2:8" x14ac:dyDescent="0.25">
      <c r="B862" s="215"/>
      <c r="C862" s="25"/>
      <c r="D862" s="25"/>
      <c r="E862" s="26"/>
      <c r="F862" s="27" t="s">
        <v>179</v>
      </c>
      <c r="G862" s="40">
        <f>SUM(G859:G861)</f>
        <v>152.59960000000001</v>
      </c>
    </row>
    <row r="863" spans="2:8" ht="15.75" thickBot="1" x14ac:dyDescent="0.3">
      <c r="B863" s="215"/>
      <c r="C863" s="17"/>
      <c r="D863" s="25"/>
      <c r="E863" s="26"/>
      <c r="F863" s="16"/>
      <c r="G863" s="43"/>
    </row>
    <row r="864" spans="2:8" ht="15.75" thickBot="1" x14ac:dyDescent="0.3">
      <c r="B864" s="44" t="s">
        <v>240</v>
      </c>
      <c r="C864" s="45" t="s">
        <v>914</v>
      </c>
      <c r="D864" s="46"/>
      <c r="E864" s="47"/>
      <c r="F864" s="16" t="s">
        <v>178</v>
      </c>
      <c r="G864" s="113">
        <f>G857+G862</f>
        <v>189.21505400000001</v>
      </c>
    </row>
    <row r="865" spans="1:8" x14ac:dyDescent="0.25">
      <c r="B865" s="30" t="s">
        <v>344</v>
      </c>
      <c r="C865" s="51" t="s">
        <v>507</v>
      </c>
      <c r="D865" s="32"/>
      <c r="E865" s="69" t="s">
        <v>193</v>
      </c>
      <c r="F865" s="33" t="s">
        <v>192</v>
      </c>
      <c r="G865" s="34" t="s">
        <v>191</v>
      </c>
    </row>
    <row r="866" spans="1:8" x14ac:dyDescent="0.25">
      <c r="B866" s="35" t="s">
        <v>0</v>
      </c>
      <c r="C866" s="20" t="s">
        <v>1</v>
      </c>
      <c r="D866" s="20" t="s">
        <v>190</v>
      </c>
      <c r="E866" s="59" t="s">
        <v>189</v>
      </c>
      <c r="F866" s="18" t="s">
        <v>188</v>
      </c>
      <c r="G866" s="64" t="s">
        <v>187</v>
      </c>
    </row>
    <row r="867" spans="1:8" x14ac:dyDescent="0.25">
      <c r="B867" s="358" t="s">
        <v>186</v>
      </c>
      <c r="C867" s="359"/>
      <c r="D867" s="216"/>
      <c r="E867" s="26"/>
      <c r="F867" s="36"/>
      <c r="G867" s="37"/>
    </row>
    <row r="868" spans="1:8" ht="24" x14ac:dyDescent="0.25">
      <c r="B868" s="50">
        <v>88267</v>
      </c>
      <c r="C868" s="17" t="s">
        <v>210</v>
      </c>
      <c r="D868" s="216" t="s">
        <v>184</v>
      </c>
      <c r="E868" s="54">
        <f>15/60</f>
        <v>0.25</v>
      </c>
      <c r="F868" s="27">
        <v>21.67</v>
      </c>
      <c r="G868" s="37">
        <f>E868*F868</f>
        <v>5.4175000000000004</v>
      </c>
      <c r="H868" s="181" t="s">
        <v>506</v>
      </c>
    </row>
    <row r="869" spans="1:8" x14ac:dyDescent="0.25">
      <c r="B869" s="215"/>
      <c r="C869" s="25"/>
      <c r="D869" s="25"/>
      <c r="E869" s="53"/>
      <c r="F869" s="39" t="s">
        <v>183</v>
      </c>
      <c r="G869" s="40">
        <f>SUM(G868:G868)</f>
        <v>5.4175000000000004</v>
      </c>
    </row>
    <row r="870" spans="1:8" x14ac:dyDescent="0.25">
      <c r="B870" s="358" t="s">
        <v>182</v>
      </c>
      <c r="C870" s="359"/>
      <c r="D870" s="216"/>
      <c r="E870" s="26"/>
      <c r="F870" s="36"/>
      <c r="G870" s="37"/>
    </row>
    <row r="871" spans="1:8" x14ac:dyDescent="0.25">
      <c r="A871" s="240"/>
      <c r="B871" s="215" t="str">
        <f>'MAPA COTAÇÃO'!B114</f>
        <v>COT-23</v>
      </c>
      <c r="C871" s="55" t="str">
        <f>'MAPA COTAÇÃO'!B119</f>
        <v>GRELHA INOX 150MM ABRE FECHA</v>
      </c>
      <c r="D871" s="216" t="str">
        <f>'MAPA COTAÇÃO'!D119</f>
        <v>UNID</v>
      </c>
      <c r="E871" s="71">
        <v>1</v>
      </c>
      <c r="F871" s="42">
        <f>'MAPA COTAÇÃO'!J119</f>
        <v>29.9</v>
      </c>
      <c r="G871" s="37">
        <f>E871*F871</f>
        <v>29.9</v>
      </c>
    </row>
    <row r="872" spans="1:8" x14ac:dyDescent="0.25">
      <c r="B872" s="215"/>
      <c r="C872" s="25"/>
      <c r="D872" s="25"/>
      <c r="E872" s="26"/>
      <c r="F872" s="27" t="s">
        <v>179</v>
      </c>
      <c r="G872" s="40">
        <f>SUM(G871:G871)</f>
        <v>29.9</v>
      </c>
    </row>
    <row r="873" spans="1:8" ht="15.75" thickBot="1" x14ac:dyDescent="0.3">
      <c r="B873" s="215"/>
      <c r="C873" s="17" t="s">
        <v>682</v>
      </c>
      <c r="D873" s="25"/>
      <c r="E873" s="26"/>
      <c r="F873" s="16"/>
      <c r="G873" s="43"/>
    </row>
    <row r="874" spans="1:8" ht="15.75" thickBot="1" x14ac:dyDescent="0.3">
      <c r="B874" s="44" t="s">
        <v>240</v>
      </c>
      <c r="C874" s="45" t="s">
        <v>193</v>
      </c>
      <c r="D874" s="46"/>
      <c r="E874" s="47"/>
      <c r="F874" s="16" t="s">
        <v>178</v>
      </c>
      <c r="G874" s="113">
        <f>G869+G872</f>
        <v>35.317499999999995</v>
      </c>
    </row>
    <row r="875" spans="1:8" x14ac:dyDescent="0.25">
      <c r="B875" s="30" t="s">
        <v>345</v>
      </c>
      <c r="C875" s="51" t="s">
        <v>508</v>
      </c>
      <c r="D875" s="32"/>
      <c r="E875" s="69" t="s">
        <v>193</v>
      </c>
      <c r="F875" s="33" t="s">
        <v>192</v>
      </c>
      <c r="G875" s="34" t="s">
        <v>191</v>
      </c>
    </row>
    <row r="876" spans="1:8" x14ac:dyDescent="0.25">
      <c r="B876" s="35" t="s">
        <v>0</v>
      </c>
      <c r="C876" s="20" t="s">
        <v>1</v>
      </c>
      <c r="D876" s="20" t="s">
        <v>190</v>
      </c>
      <c r="E876" s="59" t="s">
        <v>189</v>
      </c>
      <c r="F876" s="18" t="s">
        <v>188</v>
      </c>
      <c r="G876" s="64" t="s">
        <v>187</v>
      </c>
    </row>
    <row r="877" spans="1:8" x14ac:dyDescent="0.25">
      <c r="B877" s="358" t="s">
        <v>186</v>
      </c>
      <c r="C877" s="359"/>
      <c r="D877" s="216"/>
      <c r="E877" s="26"/>
      <c r="F877" s="36"/>
      <c r="G877" s="37"/>
    </row>
    <row r="878" spans="1:8" x14ac:dyDescent="0.25">
      <c r="B878" s="50">
        <v>88267</v>
      </c>
      <c r="C878" s="17" t="s">
        <v>210</v>
      </c>
      <c r="D878" s="216" t="s">
        <v>184</v>
      </c>
      <c r="E878" s="54">
        <f>0.128+0.1</f>
        <v>0.22800000000000001</v>
      </c>
      <c r="F878" s="27">
        <v>21.67</v>
      </c>
      <c r="G878" s="37">
        <f>E878*F878</f>
        <v>4.9407600000000009</v>
      </c>
    </row>
    <row r="879" spans="1:8" x14ac:dyDescent="0.25">
      <c r="B879" s="50">
        <v>88316</v>
      </c>
      <c r="C879" s="17" t="s">
        <v>201</v>
      </c>
      <c r="D879" s="216" t="s">
        <v>184</v>
      </c>
      <c r="E879" s="26">
        <f>0.2514+0.03</f>
        <v>0.28139999999999998</v>
      </c>
      <c r="F879" s="27">
        <v>16.21</v>
      </c>
      <c r="G879" s="37">
        <f>E879*F879</f>
        <v>4.5614939999999997</v>
      </c>
    </row>
    <row r="880" spans="1:8" x14ac:dyDescent="0.25">
      <c r="B880" s="215"/>
      <c r="C880" s="25"/>
      <c r="D880" s="25"/>
      <c r="E880" s="53"/>
      <c r="F880" s="39" t="s">
        <v>183</v>
      </c>
      <c r="G880" s="40">
        <f>SUM(G878:G879)</f>
        <v>9.5022540000000006</v>
      </c>
    </row>
    <row r="881" spans="2:8" x14ac:dyDescent="0.25">
      <c r="B881" s="358" t="s">
        <v>182</v>
      </c>
      <c r="C881" s="359"/>
      <c r="D881" s="216"/>
      <c r="E881" s="26"/>
      <c r="F881" s="36"/>
      <c r="G881" s="37"/>
    </row>
    <row r="882" spans="2:8" x14ac:dyDescent="0.25">
      <c r="B882" s="50">
        <v>3146</v>
      </c>
      <c r="C882" s="55" t="s">
        <v>209</v>
      </c>
      <c r="D882" s="216" t="s">
        <v>180</v>
      </c>
      <c r="E882" s="58">
        <v>3.04E-2</v>
      </c>
      <c r="F882" s="42">
        <v>1.8</v>
      </c>
      <c r="G882" s="37">
        <f>E882*F882</f>
        <v>5.4719999999999998E-2</v>
      </c>
    </row>
    <row r="883" spans="2:8" x14ac:dyDescent="0.25">
      <c r="B883" s="50">
        <v>36796</v>
      </c>
      <c r="C883" s="55" t="s">
        <v>985</v>
      </c>
      <c r="D883" s="216" t="s">
        <v>180</v>
      </c>
      <c r="E883" s="54">
        <v>1</v>
      </c>
      <c r="F883" s="42">
        <v>152.49</v>
      </c>
      <c r="G883" s="37">
        <f>E883*F883</f>
        <v>152.49</v>
      </c>
    </row>
    <row r="884" spans="2:8" x14ac:dyDescent="0.25">
      <c r="B884" s="215"/>
      <c r="C884" s="25"/>
      <c r="D884" s="25"/>
      <c r="E884" s="26"/>
      <c r="F884" s="27" t="s">
        <v>179</v>
      </c>
      <c r="G884" s="40">
        <f>SUM(G882:G883)</f>
        <v>152.54472000000001</v>
      </c>
    </row>
    <row r="885" spans="2:8" ht="15.75" thickBot="1" x14ac:dyDescent="0.3">
      <c r="B885" s="215"/>
      <c r="C885" s="17"/>
      <c r="D885" s="25"/>
      <c r="E885" s="26"/>
      <c r="F885" s="16"/>
      <c r="G885" s="43"/>
    </row>
    <row r="886" spans="2:8" ht="15.75" thickBot="1" x14ac:dyDescent="0.3">
      <c r="B886" s="44" t="s">
        <v>240</v>
      </c>
      <c r="C886" s="45" t="s">
        <v>915</v>
      </c>
      <c r="D886" s="46"/>
      <c r="E886" s="47"/>
      <c r="F886" s="16" t="s">
        <v>178</v>
      </c>
      <c r="G886" s="113">
        <f>G880+G884</f>
        <v>162.04697400000001</v>
      </c>
    </row>
    <row r="887" spans="2:8" x14ac:dyDescent="0.25">
      <c r="B887" s="30" t="s">
        <v>346</v>
      </c>
      <c r="C887" s="51" t="s">
        <v>509</v>
      </c>
      <c r="D887" s="32"/>
      <c r="E887" s="69" t="s">
        <v>193</v>
      </c>
      <c r="F887" s="33" t="s">
        <v>192</v>
      </c>
      <c r="G887" s="34" t="s">
        <v>191</v>
      </c>
    </row>
    <row r="888" spans="2:8" x14ac:dyDescent="0.25">
      <c r="B888" s="35" t="s">
        <v>0</v>
      </c>
      <c r="C888" s="20" t="s">
        <v>1</v>
      </c>
      <c r="D888" s="20" t="s">
        <v>190</v>
      </c>
      <c r="E888" s="59" t="s">
        <v>189</v>
      </c>
      <c r="F888" s="18" t="s">
        <v>188</v>
      </c>
      <c r="G888" s="64" t="s">
        <v>187</v>
      </c>
    </row>
    <row r="889" spans="2:8" x14ac:dyDescent="0.25">
      <c r="B889" s="358" t="s">
        <v>186</v>
      </c>
      <c r="C889" s="359"/>
      <c r="D889" s="216"/>
      <c r="E889" s="26"/>
      <c r="F889" s="36"/>
      <c r="G889" s="37"/>
    </row>
    <row r="890" spans="2:8" ht="24" x14ac:dyDescent="0.25">
      <c r="B890" s="50">
        <v>88264</v>
      </c>
      <c r="C890" s="17" t="s">
        <v>185</v>
      </c>
      <c r="D890" s="216" t="s">
        <v>184</v>
      </c>
      <c r="E890" s="71">
        <f>45/60</f>
        <v>0.75</v>
      </c>
      <c r="F890" s="42">
        <v>25.71</v>
      </c>
      <c r="G890" s="37">
        <f>E890*F890</f>
        <v>19.282499999999999</v>
      </c>
      <c r="H890" s="181" t="s">
        <v>499</v>
      </c>
    </row>
    <row r="891" spans="2:8" x14ac:dyDescent="0.25">
      <c r="B891" s="50">
        <v>88267</v>
      </c>
      <c r="C891" s="17" t="s">
        <v>210</v>
      </c>
      <c r="D891" s="216" t="s">
        <v>184</v>
      </c>
      <c r="E891" s="54">
        <f>0.128+0.17</f>
        <v>0.29800000000000004</v>
      </c>
      <c r="F891" s="27">
        <v>21.67</v>
      </c>
      <c r="G891" s="37">
        <f>E891*F891</f>
        <v>6.4576600000000015</v>
      </c>
    </row>
    <row r="892" spans="2:8" x14ac:dyDescent="0.25">
      <c r="B892" s="50">
        <v>88316</v>
      </c>
      <c r="C892" s="17" t="s">
        <v>201</v>
      </c>
      <c r="D892" s="216" t="s">
        <v>184</v>
      </c>
      <c r="E892" s="26">
        <f>0.2514+0.05</f>
        <v>0.3014</v>
      </c>
      <c r="F892" s="27">
        <v>16.21</v>
      </c>
      <c r="G892" s="37">
        <f>E892*F892</f>
        <v>4.885694</v>
      </c>
    </row>
    <row r="893" spans="2:8" x14ac:dyDescent="0.25">
      <c r="B893" s="215"/>
      <c r="C893" s="25"/>
      <c r="D893" s="25"/>
      <c r="E893" s="53"/>
      <c r="F893" s="39" t="s">
        <v>183</v>
      </c>
      <c r="G893" s="40">
        <f>SUM(G890:G892)</f>
        <v>30.625854</v>
      </c>
    </row>
    <row r="894" spans="2:8" x14ac:dyDescent="0.25">
      <c r="B894" s="358" t="s">
        <v>182</v>
      </c>
      <c r="C894" s="359"/>
      <c r="D894" s="216"/>
      <c r="E894" s="26"/>
      <c r="F894" s="36"/>
      <c r="G894" s="37"/>
    </row>
    <row r="895" spans="2:8" x14ac:dyDescent="0.25">
      <c r="B895" s="50">
        <v>3146</v>
      </c>
      <c r="C895" s="55" t="s">
        <v>209</v>
      </c>
      <c r="D895" s="216" t="s">
        <v>180</v>
      </c>
      <c r="E895" s="58">
        <v>3.04E-2</v>
      </c>
      <c r="F895" s="42">
        <v>1.8</v>
      </c>
      <c r="G895" s="37">
        <f>E895*F895</f>
        <v>5.4719999999999998E-2</v>
      </c>
    </row>
    <row r="896" spans="2:8" x14ac:dyDescent="0.25">
      <c r="B896" s="50">
        <v>11777</v>
      </c>
      <c r="C896" s="55" t="s">
        <v>986</v>
      </c>
      <c r="D896" s="216" t="s">
        <v>180</v>
      </c>
      <c r="E896" s="54">
        <v>1</v>
      </c>
      <c r="F896" s="42">
        <v>89.44</v>
      </c>
      <c r="G896" s="37">
        <f>E896*F896</f>
        <v>89.44</v>
      </c>
    </row>
    <row r="897" spans="2:7" x14ac:dyDescent="0.25">
      <c r="B897" s="215"/>
      <c r="C897" s="25"/>
      <c r="D897" s="25"/>
      <c r="E897" s="26"/>
      <c r="F897" s="27" t="s">
        <v>179</v>
      </c>
      <c r="G897" s="40">
        <f>SUM(G895:G896)</f>
        <v>89.494720000000001</v>
      </c>
    </row>
    <row r="898" spans="2:7" ht="15.75" thickBot="1" x14ac:dyDescent="0.3">
      <c r="B898" s="215"/>
      <c r="C898" s="17"/>
      <c r="D898" s="25"/>
      <c r="E898" s="26"/>
      <c r="F898" s="16"/>
      <c r="G898" s="43"/>
    </row>
    <row r="899" spans="2:7" ht="15.75" thickBot="1" x14ac:dyDescent="0.3">
      <c r="B899" s="44" t="s">
        <v>240</v>
      </c>
      <c r="C899" s="45" t="s">
        <v>916</v>
      </c>
      <c r="D899" s="46"/>
      <c r="E899" s="47"/>
      <c r="F899" s="16" t="s">
        <v>178</v>
      </c>
      <c r="G899" s="113">
        <f>G893+G897</f>
        <v>120.120574</v>
      </c>
    </row>
    <row r="900" spans="2:7" x14ac:dyDescent="0.25">
      <c r="B900" s="30" t="s">
        <v>504</v>
      </c>
      <c r="C900" s="51" t="s">
        <v>511</v>
      </c>
      <c r="D900" s="32"/>
      <c r="E900" s="69" t="s">
        <v>193</v>
      </c>
      <c r="F900" s="33" t="s">
        <v>192</v>
      </c>
      <c r="G900" s="34" t="s">
        <v>191</v>
      </c>
    </row>
    <row r="901" spans="2:7" x14ac:dyDescent="0.25">
      <c r="B901" s="35" t="s">
        <v>0</v>
      </c>
      <c r="C901" s="20" t="s">
        <v>1</v>
      </c>
      <c r="D901" s="20" t="s">
        <v>190</v>
      </c>
      <c r="E901" s="59" t="s">
        <v>189</v>
      </c>
      <c r="F901" s="18" t="s">
        <v>188</v>
      </c>
      <c r="G901" s="64" t="s">
        <v>187</v>
      </c>
    </row>
    <row r="902" spans="2:7" x14ac:dyDescent="0.25">
      <c r="B902" s="358" t="s">
        <v>186</v>
      </c>
      <c r="C902" s="359"/>
      <c r="D902" s="216"/>
      <c r="E902" s="26"/>
      <c r="F902" s="36"/>
      <c r="G902" s="37"/>
    </row>
    <row r="903" spans="2:7" x14ac:dyDescent="0.25">
      <c r="B903" s="50">
        <v>88264</v>
      </c>
      <c r="C903" s="17" t="s">
        <v>185</v>
      </c>
      <c r="D903" s="216" t="s">
        <v>184</v>
      </c>
      <c r="E903" s="71">
        <f>0.0095+0.45</f>
        <v>0.45950000000000002</v>
      </c>
      <c r="F903" s="42">
        <v>22.58</v>
      </c>
      <c r="G903" s="37">
        <f>E903*F903</f>
        <v>10.37551</v>
      </c>
    </row>
    <row r="904" spans="2:7" x14ac:dyDescent="0.25">
      <c r="B904" s="50">
        <v>88316</v>
      </c>
      <c r="C904" s="17" t="s">
        <v>201</v>
      </c>
      <c r="D904" s="216" t="s">
        <v>184</v>
      </c>
      <c r="E904" s="71">
        <f>0.0187+0.3</f>
        <v>0.31869999999999998</v>
      </c>
      <c r="F904" s="27">
        <v>16.21</v>
      </c>
      <c r="G904" s="37">
        <f>E904*F904</f>
        <v>5.1661270000000004</v>
      </c>
    </row>
    <row r="905" spans="2:7" x14ac:dyDescent="0.25">
      <c r="B905" s="215"/>
      <c r="C905" s="25"/>
      <c r="D905" s="25"/>
      <c r="E905" s="53"/>
      <c r="F905" s="39" t="s">
        <v>183</v>
      </c>
      <c r="G905" s="40">
        <f>SUM(G903:G904)</f>
        <v>15.541637000000001</v>
      </c>
    </row>
    <row r="906" spans="2:7" x14ac:dyDescent="0.25">
      <c r="B906" s="358" t="s">
        <v>182</v>
      </c>
      <c r="C906" s="359"/>
      <c r="D906" s="216"/>
      <c r="E906" s="26"/>
      <c r="F906" s="36"/>
      <c r="G906" s="37"/>
    </row>
    <row r="907" spans="2:7" ht="22.5" x14ac:dyDescent="0.25">
      <c r="B907" s="215">
        <v>1367</v>
      </c>
      <c r="C907" s="55" t="s">
        <v>510</v>
      </c>
      <c r="D907" s="216" t="s">
        <v>180</v>
      </c>
      <c r="E907" s="41">
        <v>1</v>
      </c>
      <c r="F907" s="42">
        <v>133.43</v>
      </c>
      <c r="G907" s="37">
        <f>E907*F907</f>
        <v>133.43</v>
      </c>
    </row>
    <row r="908" spans="2:7" x14ac:dyDescent="0.25">
      <c r="B908" s="50">
        <v>3148</v>
      </c>
      <c r="C908" s="17" t="s">
        <v>208</v>
      </c>
      <c r="D908" s="216" t="s">
        <v>180</v>
      </c>
      <c r="E908" s="41">
        <v>0.01</v>
      </c>
      <c r="F908" s="42">
        <v>6.63</v>
      </c>
      <c r="G908" s="37">
        <f>E908*F908</f>
        <v>6.6299999999999998E-2</v>
      </c>
    </row>
    <row r="909" spans="2:7" x14ac:dyDescent="0.25">
      <c r="B909" s="215"/>
      <c r="C909" s="25"/>
      <c r="D909" s="25"/>
      <c r="E909" s="26"/>
      <c r="F909" s="27" t="s">
        <v>179</v>
      </c>
      <c r="G909" s="40">
        <f>SUM(G907:G908)</f>
        <v>133.49630000000002</v>
      </c>
    </row>
    <row r="910" spans="2:7" ht="15.75" thickBot="1" x14ac:dyDescent="0.3">
      <c r="B910" s="215"/>
      <c r="C910" s="17"/>
      <c r="D910" s="25"/>
      <c r="E910" s="26"/>
      <c r="F910" s="16"/>
      <c r="G910" s="43"/>
    </row>
    <row r="911" spans="2:7" ht="15.75" thickBot="1" x14ac:dyDescent="0.3">
      <c r="B911" s="44" t="s">
        <v>240</v>
      </c>
      <c r="C911" s="45" t="s">
        <v>917</v>
      </c>
      <c r="D911" s="46"/>
      <c r="E911" s="47"/>
      <c r="F911" s="16" t="s">
        <v>178</v>
      </c>
      <c r="G911" s="113">
        <f>G905+G909</f>
        <v>149.03793700000003</v>
      </c>
    </row>
    <row r="912" spans="2:7" x14ac:dyDescent="0.25">
      <c r="B912" s="30" t="s">
        <v>505</v>
      </c>
      <c r="C912" s="51" t="s">
        <v>791</v>
      </c>
      <c r="D912" s="32"/>
      <c r="E912" s="69" t="s">
        <v>193</v>
      </c>
      <c r="F912" s="33" t="s">
        <v>192</v>
      </c>
      <c r="G912" s="34" t="s">
        <v>191</v>
      </c>
    </row>
    <row r="913" spans="1:8" x14ac:dyDescent="0.25">
      <c r="B913" s="35" t="s">
        <v>0</v>
      </c>
      <c r="C913" s="20" t="s">
        <v>1</v>
      </c>
      <c r="D913" s="20" t="s">
        <v>190</v>
      </c>
      <c r="E913" s="59" t="s">
        <v>189</v>
      </c>
      <c r="F913" s="18" t="s">
        <v>188</v>
      </c>
      <c r="G913" s="64" t="s">
        <v>187</v>
      </c>
    </row>
    <row r="914" spans="1:8" x14ac:dyDescent="0.25">
      <c r="B914" s="358" t="s">
        <v>186</v>
      </c>
      <c r="C914" s="359"/>
      <c r="D914" s="216"/>
      <c r="E914" s="26"/>
      <c r="F914" s="36"/>
      <c r="G914" s="37"/>
    </row>
    <row r="915" spans="1:8" ht="24" x14ac:dyDescent="0.25">
      <c r="B915" s="50">
        <v>88264</v>
      </c>
      <c r="C915" s="17" t="s">
        <v>185</v>
      </c>
      <c r="D915" s="216" t="s">
        <v>184</v>
      </c>
      <c r="E915" s="71">
        <f>0.5</f>
        <v>0.5</v>
      </c>
      <c r="F915" s="42">
        <v>25.71</v>
      </c>
      <c r="G915" s="37">
        <f>E915*F915</f>
        <v>12.855</v>
      </c>
      <c r="H915" s="181" t="s">
        <v>512</v>
      </c>
    </row>
    <row r="916" spans="1:8" x14ac:dyDescent="0.25">
      <c r="B916" s="215"/>
      <c r="C916" s="25"/>
      <c r="D916" s="25"/>
      <c r="E916" s="53"/>
      <c r="F916" s="39" t="s">
        <v>183</v>
      </c>
      <c r="G916" s="40">
        <f>SUM(G915:G915)</f>
        <v>12.855</v>
      </c>
    </row>
    <row r="917" spans="1:8" x14ac:dyDescent="0.25">
      <c r="B917" s="358" t="s">
        <v>182</v>
      </c>
      <c r="C917" s="359"/>
      <c r="D917" s="216"/>
      <c r="E917" s="26"/>
      <c r="F917" s="36"/>
      <c r="G917" s="37"/>
    </row>
    <row r="918" spans="1:8" x14ac:dyDescent="0.25">
      <c r="A918" s="240"/>
      <c r="B918" s="215" t="str">
        <f>'MAPA COTAÇÃO'!B121</f>
        <v>COT-24</v>
      </c>
      <c r="C918" s="55" t="str">
        <f>'MAPA COTAÇÃO'!B126</f>
        <v xml:space="preserve">RESISTENCIA PARA CHUVEIRO </v>
      </c>
      <c r="D918" s="216" t="str">
        <f>'MAPA COTAÇÃO'!D126</f>
        <v>UNID</v>
      </c>
      <c r="E918" s="41">
        <v>1</v>
      </c>
      <c r="F918" s="42">
        <f>'MAPA COTAÇÃO'!J126</f>
        <v>24.34</v>
      </c>
      <c r="G918" s="37">
        <f>E918*F918</f>
        <v>24.34</v>
      </c>
    </row>
    <row r="919" spans="1:8" x14ac:dyDescent="0.25">
      <c r="B919" s="215"/>
      <c r="C919" s="25"/>
      <c r="D919" s="25"/>
      <c r="E919" s="26"/>
      <c r="F919" s="27" t="s">
        <v>179</v>
      </c>
      <c r="G919" s="40">
        <f>SUM(G918:G918)</f>
        <v>24.34</v>
      </c>
    </row>
    <row r="920" spans="1:8" ht="15.75" thickBot="1" x14ac:dyDescent="0.3">
      <c r="B920" s="215"/>
      <c r="C920" s="17" t="s">
        <v>682</v>
      </c>
      <c r="D920" s="25"/>
      <c r="E920" s="26"/>
      <c r="F920" s="16"/>
      <c r="G920" s="43"/>
    </row>
    <row r="921" spans="1:8" ht="15.75" thickBot="1" x14ac:dyDescent="0.3">
      <c r="B921" s="44" t="s">
        <v>240</v>
      </c>
      <c r="C921" s="45" t="s">
        <v>1093</v>
      </c>
      <c r="D921" s="46"/>
      <c r="E921" s="47"/>
      <c r="F921" s="16" t="s">
        <v>178</v>
      </c>
      <c r="G921" s="113">
        <f>G916+G919</f>
        <v>37.195</v>
      </c>
    </row>
    <row r="922" spans="1:8" ht="15.75" thickBot="1" x14ac:dyDescent="0.3">
      <c r="B922" s="23" t="s">
        <v>91</v>
      </c>
      <c r="C922" s="22" t="s">
        <v>86</v>
      </c>
      <c r="D922" s="21"/>
      <c r="E922" s="21"/>
      <c r="F922" s="21"/>
      <c r="G922" s="21"/>
    </row>
    <row r="923" spans="1:8" x14ac:dyDescent="0.25">
      <c r="B923" s="30" t="s">
        <v>513</v>
      </c>
      <c r="C923" s="51" t="s">
        <v>275</v>
      </c>
      <c r="D923" s="32"/>
      <c r="E923" s="69" t="s">
        <v>514</v>
      </c>
      <c r="F923" s="33" t="s">
        <v>192</v>
      </c>
      <c r="G923" s="34" t="s">
        <v>214</v>
      </c>
    </row>
    <row r="924" spans="1:8" x14ac:dyDescent="0.25">
      <c r="B924" s="35" t="s">
        <v>0</v>
      </c>
      <c r="C924" s="20" t="s">
        <v>1</v>
      </c>
      <c r="D924" s="20" t="s">
        <v>190</v>
      </c>
      <c r="E924" s="59" t="s">
        <v>189</v>
      </c>
      <c r="F924" s="18" t="s">
        <v>188</v>
      </c>
      <c r="G924" s="64" t="s">
        <v>187</v>
      </c>
    </row>
    <row r="925" spans="1:8" x14ac:dyDescent="0.25">
      <c r="B925" s="358" t="s">
        <v>186</v>
      </c>
      <c r="C925" s="359"/>
      <c r="D925" s="216"/>
      <c r="E925" s="26"/>
      <c r="F925" s="36"/>
      <c r="G925" s="37"/>
    </row>
    <row r="926" spans="1:8" x14ac:dyDescent="0.25">
      <c r="B926" s="50">
        <v>90436</v>
      </c>
      <c r="C926" s="17" t="s">
        <v>515</v>
      </c>
      <c r="D926" s="216" t="s">
        <v>180</v>
      </c>
      <c r="E926" s="58">
        <v>8.3000000000000001E-3</v>
      </c>
      <c r="F926" s="27">
        <v>12</v>
      </c>
      <c r="G926" s="37">
        <f t="shared" ref="G926:G931" si="3">E926*F926</f>
        <v>9.9599999999999994E-2</v>
      </c>
    </row>
    <row r="927" spans="1:8" ht="22.5" x14ac:dyDescent="0.25">
      <c r="B927" s="50">
        <v>90443</v>
      </c>
      <c r="C927" s="17" t="s">
        <v>516</v>
      </c>
      <c r="D927" s="216" t="s">
        <v>11</v>
      </c>
      <c r="E927" s="58">
        <v>0.2006</v>
      </c>
      <c r="F927" s="27">
        <v>10.9</v>
      </c>
      <c r="G927" s="37">
        <f t="shared" si="3"/>
        <v>2.1865399999999999</v>
      </c>
    </row>
    <row r="928" spans="1:8" ht="22.5" x14ac:dyDescent="0.25">
      <c r="B928" s="50">
        <v>90453</v>
      </c>
      <c r="C928" s="17" t="s">
        <v>517</v>
      </c>
      <c r="D928" s="216" t="s">
        <v>180</v>
      </c>
      <c r="E928" s="58">
        <v>7.1000000000000004E-3</v>
      </c>
      <c r="F928" s="27">
        <v>2.0499999999999998</v>
      </c>
      <c r="G928" s="37">
        <f t="shared" si="3"/>
        <v>1.4555E-2</v>
      </c>
    </row>
    <row r="929" spans="2:7" ht="22.5" x14ac:dyDescent="0.25">
      <c r="B929" s="50">
        <v>90466</v>
      </c>
      <c r="C929" s="17" t="s">
        <v>518</v>
      </c>
      <c r="D929" s="216" t="s">
        <v>11</v>
      </c>
      <c r="E929" s="58">
        <v>0.2006</v>
      </c>
      <c r="F929" s="27">
        <v>10.62</v>
      </c>
      <c r="G929" s="37">
        <f t="shared" si="3"/>
        <v>2.1303719999999999</v>
      </c>
    </row>
    <row r="930" spans="2:7" ht="33.75" x14ac:dyDescent="0.25">
      <c r="B930" s="50">
        <v>91185</v>
      </c>
      <c r="C930" s="17" t="s">
        <v>519</v>
      </c>
      <c r="D930" s="216" t="s">
        <v>11</v>
      </c>
      <c r="E930" s="58">
        <v>9.1999999999999998E-3</v>
      </c>
      <c r="F930" s="27">
        <v>5.78</v>
      </c>
      <c r="G930" s="37">
        <f t="shared" si="3"/>
        <v>5.3176000000000001E-2</v>
      </c>
    </row>
    <row r="931" spans="2:7" ht="22.5" x14ac:dyDescent="0.25">
      <c r="B931" s="50">
        <v>91190</v>
      </c>
      <c r="C931" s="17" t="s">
        <v>520</v>
      </c>
      <c r="D931" s="216" t="s">
        <v>180</v>
      </c>
      <c r="E931" s="58">
        <v>8.3000000000000001E-3</v>
      </c>
      <c r="F931" s="27">
        <v>4.13</v>
      </c>
      <c r="G931" s="37">
        <f t="shared" si="3"/>
        <v>3.4278999999999997E-2</v>
      </c>
    </row>
    <row r="932" spans="2:7" x14ac:dyDescent="0.25">
      <c r="B932" s="215"/>
      <c r="C932" s="25"/>
      <c r="D932" s="25"/>
      <c r="E932" s="53"/>
      <c r="F932" s="39" t="s">
        <v>183</v>
      </c>
      <c r="G932" s="40">
        <f>SUM(G926:G931)</f>
        <v>4.5185219999999999</v>
      </c>
    </row>
    <row r="933" spans="2:7" x14ac:dyDescent="0.25">
      <c r="B933" s="358" t="s">
        <v>182</v>
      </c>
      <c r="C933" s="359"/>
      <c r="D933" s="216"/>
      <c r="E933" s="26"/>
      <c r="F933" s="36"/>
      <c r="G933" s="37"/>
    </row>
    <row r="934" spans="2:7" ht="22.5" x14ac:dyDescent="0.25">
      <c r="B934" s="50">
        <v>89356</v>
      </c>
      <c r="C934" s="55" t="s">
        <v>521</v>
      </c>
      <c r="D934" s="216" t="s">
        <v>11</v>
      </c>
      <c r="E934" s="54">
        <v>0.79400000000000004</v>
      </c>
      <c r="F934" s="42">
        <v>17.420000000000002</v>
      </c>
      <c r="G934" s="37">
        <f>E934*F934</f>
        <v>13.831480000000003</v>
      </c>
    </row>
    <row r="935" spans="2:7" ht="22.5" x14ac:dyDescent="0.25">
      <c r="B935" s="50">
        <v>89362</v>
      </c>
      <c r="C935" s="55" t="s">
        <v>522</v>
      </c>
      <c r="D935" s="216" t="s">
        <v>180</v>
      </c>
      <c r="E935" s="54">
        <v>0.65429999999999999</v>
      </c>
      <c r="F935" s="42">
        <v>6.93</v>
      </c>
      <c r="G935" s="37">
        <f t="shared" ref="G935:G952" si="4">E935*F935</f>
        <v>4.5342989999999999</v>
      </c>
    </row>
    <row r="936" spans="2:7" ht="33.75" x14ac:dyDescent="0.25">
      <c r="B936" s="50">
        <v>89366</v>
      </c>
      <c r="C936" s="55" t="s">
        <v>523</v>
      </c>
      <c r="D936" s="216" t="s">
        <v>180</v>
      </c>
      <c r="E936" s="54">
        <v>0.1694</v>
      </c>
      <c r="F936" s="42">
        <v>10.74</v>
      </c>
      <c r="G936" s="37">
        <f t="shared" si="4"/>
        <v>1.819356</v>
      </c>
    </row>
    <row r="937" spans="2:7" ht="22.5" x14ac:dyDescent="0.25">
      <c r="B937" s="50">
        <v>89378</v>
      </c>
      <c r="C937" s="55" t="s">
        <v>524</v>
      </c>
      <c r="D937" s="216" t="s">
        <v>180</v>
      </c>
      <c r="E937" s="54">
        <v>7.7299999999999994E-2</v>
      </c>
      <c r="F937" s="42">
        <v>5</v>
      </c>
      <c r="G937" s="37">
        <f t="shared" si="4"/>
        <v>0.38649999999999995</v>
      </c>
    </row>
    <row r="938" spans="2:7" ht="33.75" x14ac:dyDescent="0.25">
      <c r="B938" s="50">
        <v>89383</v>
      </c>
      <c r="C938" s="55" t="s">
        <v>525</v>
      </c>
      <c r="D938" s="216" t="s">
        <v>180</v>
      </c>
      <c r="E938" s="54">
        <v>0.6522</v>
      </c>
      <c r="F938" s="42">
        <v>5.08</v>
      </c>
      <c r="G938" s="37">
        <f t="shared" si="4"/>
        <v>3.3131759999999999</v>
      </c>
    </row>
    <row r="939" spans="2:7" ht="22.5" x14ac:dyDescent="0.25">
      <c r="B939" s="50">
        <v>89395</v>
      </c>
      <c r="C939" s="55" t="s">
        <v>526</v>
      </c>
      <c r="D939" s="216" t="s">
        <v>180</v>
      </c>
      <c r="E939" s="54">
        <v>0.30370000000000003</v>
      </c>
      <c r="F939" s="42">
        <v>9.52</v>
      </c>
      <c r="G939" s="37">
        <f t="shared" si="4"/>
        <v>2.8912240000000002</v>
      </c>
    </row>
    <row r="940" spans="2:7" ht="33.75" x14ac:dyDescent="0.25">
      <c r="B940" s="50">
        <v>89396</v>
      </c>
      <c r="C940" s="55" t="s">
        <v>527</v>
      </c>
      <c r="D940" s="216" t="s">
        <v>180</v>
      </c>
      <c r="E940" s="54">
        <v>1.6799999999999999E-2</v>
      </c>
      <c r="F940" s="42">
        <v>14.65</v>
      </c>
      <c r="G940" s="37">
        <f t="shared" si="4"/>
        <v>0.24611999999999998</v>
      </c>
    </row>
    <row r="941" spans="2:7" ht="22.5" x14ac:dyDescent="0.25">
      <c r="B941" s="50">
        <v>89400</v>
      </c>
      <c r="C941" s="55" t="s">
        <v>528</v>
      </c>
      <c r="D941" s="216" t="s">
        <v>180</v>
      </c>
      <c r="E941" s="54">
        <v>1.15E-2</v>
      </c>
      <c r="F941" s="42">
        <v>14.18</v>
      </c>
      <c r="G941" s="37">
        <f t="shared" si="4"/>
        <v>0.16306999999999999</v>
      </c>
    </row>
    <row r="942" spans="2:7" ht="22.5" x14ac:dyDescent="0.25">
      <c r="B942" s="50">
        <v>89402</v>
      </c>
      <c r="C942" s="55" t="s">
        <v>529</v>
      </c>
      <c r="D942" s="216" t="s">
        <v>11</v>
      </c>
      <c r="E942" s="54">
        <v>7.8E-2</v>
      </c>
      <c r="F942" s="42">
        <v>7.42</v>
      </c>
      <c r="G942" s="37">
        <f t="shared" si="4"/>
        <v>0.57875999999999994</v>
      </c>
    </row>
    <row r="943" spans="2:7" ht="22.5" x14ac:dyDescent="0.25">
      <c r="B943" s="50">
        <v>89408</v>
      </c>
      <c r="C943" s="55" t="s">
        <v>530</v>
      </c>
      <c r="D943" s="216" t="s">
        <v>180</v>
      </c>
      <c r="E943" s="54">
        <v>7.6E-3</v>
      </c>
      <c r="F943" s="42">
        <v>5.49</v>
      </c>
      <c r="G943" s="37">
        <f t="shared" si="4"/>
        <v>4.1724000000000004E-2</v>
      </c>
    </row>
    <row r="944" spans="2:7" ht="22.5" x14ac:dyDescent="0.25">
      <c r="B944" s="50">
        <v>89424</v>
      </c>
      <c r="C944" s="55" t="s">
        <v>531</v>
      </c>
      <c r="D944" s="216" t="s">
        <v>180</v>
      </c>
      <c r="E944" s="54">
        <v>1.35E-2</v>
      </c>
      <c r="F944" s="42">
        <v>3.44</v>
      </c>
      <c r="G944" s="37">
        <f t="shared" si="4"/>
        <v>4.6440000000000002E-2</v>
      </c>
    </row>
    <row r="945" spans="2:7" ht="22.5" x14ac:dyDescent="0.25">
      <c r="B945" s="50">
        <v>89440</v>
      </c>
      <c r="C945" s="55" t="s">
        <v>532</v>
      </c>
      <c r="D945" s="216" t="s">
        <v>180</v>
      </c>
      <c r="E945" s="54">
        <v>1.6999999999999999E-3</v>
      </c>
      <c r="F945" s="42">
        <v>6.4</v>
      </c>
      <c r="G945" s="37">
        <f t="shared" si="4"/>
        <v>1.0880000000000001E-2</v>
      </c>
    </row>
    <row r="946" spans="2:7" ht="22.5" x14ac:dyDescent="0.25">
      <c r="B946" s="50">
        <v>89445</v>
      </c>
      <c r="C946" s="55" t="s">
        <v>533</v>
      </c>
      <c r="D946" s="216" t="s">
        <v>180</v>
      </c>
      <c r="E946" s="54">
        <v>3.3999999999999998E-3</v>
      </c>
      <c r="F946" s="42">
        <v>10.47</v>
      </c>
      <c r="G946" s="37">
        <f t="shared" si="4"/>
        <v>3.5597999999999998E-2</v>
      </c>
    </row>
    <row r="947" spans="2:7" ht="22.5" x14ac:dyDescent="0.25">
      <c r="B947" s="50">
        <v>89446</v>
      </c>
      <c r="C947" s="55" t="s">
        <v>534</v>
      </c>
      <c r="D947" s="216" t="s">
        <v>11</v>
      </c>
      <c r="E947" s="54">
        <v>0.128</v>
      </c>
      <c r="F947" s="42">
        <v>3.64</v>
      </c>
      <c r="G947" s="37">
        <f t="shared" si="4"/>
        <v>0.46592</v>
      </c>
    </row>
    <row r="948" spans="2:7" ht="22.5" x14ac:dyDescent="0.25">
      <c r="B948" s="50">
        <v>89481</v>
      </c>
      <c r="C948" s="55" t="s">
        <v>535</v>
      </c>
      <c r="D948" s="216" t="s">
        <v>180</v>
      </c>
      <c r="E948" s="54">
        <v>6.7000000000000004E-2</v>
      </c>
      <c r="F948" s="42">
        <v>3.4</v>
      </c>
      <c r="G948" s="37">
        <f t="shared" si="4"/>
        <v>0.2278</v>
      </c>
    </row>
    <row r="949" spans="2:7" ht="22.5" x14ac:dyDescent="0.25">
      <c r="B949" s="50">
        <v>89528</v>
      </c>
      <c r="C949" s="55" t="s">
        <v>536</v>
      </c>
      <c r="D949" s="216" t="s">
        <v>180</v>
      </c>
      <c r="E949" s="54">
        <v>1.35E-2</v>
      </c>
      <c r="F949" s="42">
        <v>2.63</v>
      </c>
      <c r="G949" s="37">
        <f t="shared" si="4"/>
        <v>3.5504999999999995E-2</v>
      </c>
    </row>
    <row r="950" spans="2:7" ht="22.5" x14ac:dyDescent="0.25">
      <c r="B950" s="50">
        <v>89532</v>
      </c>
      <c r="C950" s="55" t="s">
        <v>537</v>
      </c>
      <c r="D950" s="216" t="s">
        <v>180</v>
      </c>
      <c r="E950" s="54">
        <v>4.6100000000000002E-2</v>
      </c>
      <c r="F950" s="42">
        <v>3.97</v>
      </c>
      <c r="G950" s="37">
        <f t="shared" si="4"/>
        <v>0.18301700000000001</v>
      </c>
    </row>
    <row r="951" spans="2:7" ht="22.5" x14ac:dyDescent="0.25">
      <c r="B951" s="50">
        <v>89622</v>
      </c>
      <c r="C951" s="55" t="s">
        <v>538</v>
      </c>
      <c r="D951" s="216" t="s">
        <v>180</v>
      </c>
      <c r="E951" s="54">
        <v>3.85E-2</v>
      </c>
      <c r="F951" s="42">
        <v>8.6999999999999993</v>
      </c>
      <c r="G951" s="37">
        <f t="shared" si="4"/>
        <v>0.33494999999999997</v>
      </c>
    </row>
    <row r="952" spans="2:7" ht="22.5" x14ac:dyDescent="0.25">
      <c r="B952" s="50">
        <v>89627</v>
      </c>
      <c r="C952" s="55" t="s">
        <v>539</v>
      </c>
      <c r="D952" s="216" t="s">
        <v>180</v>
      </c>
      <c r="E952" s="54">
        <v>3.0999999999999999E-3</v>
      </c>
      <c r="F952" s="42">
        <v>13.53</v>
      </c>
      <c r="G952" s="37">
        <f t="shared" si="4"/>
        <v>4.1942999999999994E-2</v>
      </c>
    </row>
    <row r="953" spans="2:7" x14ac:dyDescent="0.25">
      <c r="B953" s="215"/>
      <c r="C953" s="25"/>
      <c r="D953" s="25"/>
      <c r="E953" s="26"/>
      <c r="F953" s="27" t="s">
        <v>179</v>
      </c>
      <c r="G953" s="40">
        <f>SUM(G934:G952)</f>
        <v>29.187762000000003</v>
      </c>
    </row>
    <row r="954" spans="2:7" ht="15.75" thickBot="1" x14ac:dyDescent="0.3">
      <c r="B954" s="215"/>
      <c r="C954" s="17"/>
      <c r="D954" s="25"/>
      <c r="E954" s="26"/>
      <c r="F954" s="16"/>
      <c r="G954" s="43"/>
    </row>
    <row r="955" spans="2:7" ht="15.75" thickBot="1" x14ac:dyDescent="0.3">
      <c r="B955" s="44" t="s">
        <v>240</v>
      </c>
      <c r="C955" s="45" t="s">
        <v>327</v>
      </c>
      <c r="D955" s="46"/>
      <c r="E955" s="47"/>
      <c r="F955" s="16" t="s">
        <v>178</v>
      </c>
      <c r="G955" s="113">
        <f>G932+G953</f>
        <v>33.706284000000004</v>
      </c>
    </row>
    <row r="956" spans="2:7" x14ac:dyDescent="0.25">
      <c r="B956" s="30" t="s">
        <v>163</v>
      </c>
      <c r="C956" s="51" t="s">
        <v>277</v>
      </c>
      <c r="D956" s="32"/>
      <c r="E956" s="69" t="s">
        <v>328</v>
      </c>
      <c r="F956" s="33" t="s">
        <v>192</v>
      </c>
      <c r="G956" s="34" t="s">
        <v>214</v>
      </c>
    </row>
    <row r="957" spans="2:7" x14ac:dyDescent="0.25">
      <c r="B957" s="35" t="s">
        <v>0</v>
      </c>
      <c r="C957" s="20" t="s">
        <v>1</v>
      </c>
      <c r="D957" s="20" t="s">
        <v>190</v>
      </c>
      <c r="E957" s="59" t="s">
        <v>189</v>
      </c>
      <c r="F957" s="18" t="s">
        <v>188</v>
      </c>
      <c r="G957" s="64" t="s">
        <v>187</v>
      </c>
    </row>
    <row r="958" spans="2:7" x14ac:dyDescent="0.25">
      <c r="B958" s="358" t="s">
        <v>186</v>
      </c>
      <c r="C958" s="359"/>
      <c r="D958" s="216"/>
      <c r="E958" s="26"/>
      <c r="F958" s="36"/>
      <c r="G958" s="37"/>
    </row>
    <row r="959" spans="2:7" x14ac:dyDescent="0.25">
      <c r="B959" s="50">
        <v>90436</v>
      </c>
      <c r="C959" s="117" t="s">
        <v>515</v>
      </c>
      <c r="D959" s="216" t="s">
        <v>180</v>
      </c>
      <c r="E959" s="54">
        <v>1.06E-2</v>
      </c>
      <c r="F959" s="27">
        <v>12</v>
      </c>
      <c r="G959" s="37">
        <f t="shared" ref="G959:G964" si="5">E959*F959</f>
        <v>0.12720000000000001</v>
      </c>
    </row>
    <row r="960" spans="2:7" x14ac:dyDescent="0.25">
      <c r="B960" s="50">
        <v>90439</v>
      </c>
      <c r="C960" s="117" t="s">
        <v>558</v>
      </c>
      <c r="D960" s="216" t="s">
        <v>180</v>
      </c>
      <c r="E960" s="54">
        <v>3.0000000000000001E-3</v>
      </c>
      <c r="F960" s="27"/>
      <c r="G960" s="37">
        <f t="shared" si="5"/>
        <v>0</v>
      </c>
    </row>
    <row r="961" spans="2:7" ht="22.5" x14ac:dyDescent="0.25">
      <c r="B961" s="50">
        <v>90443</v>
      </c>
      <c r="C961" s="117" t="s">
        <v>516</v>
      </c>
      <c r="D961" s="216" t="s">
        <v>11</v>
      </c>
      <c r="E961" s="54">
        <v>1.4999999999999999E-2</v>
      </c>
      <c r="F961" s="27">
        <v>10.9</v>
      </c>
      <c r="G961" s="37">
        <f t="shared" si="5"/>
        <v>0.16350000000000001</v>
      </c>
    </row>
    <row r="962" spans="2:7" ht="22.5" x14ac:dyDescent="0.25">
      <c r="B962" s="50">
        <v>90453</v>
      </c>
      <c r="C962" s="117" t="s">
        <v>517</v>
      </c>
      <c r="D962" s="216" t="s">
        <v>180</v>
      </c>
      <c r="E962" s="54">
        <v>4.1200000000000001E-2</v>
      </c>
      <c r="F962" s="27">
        <v>2.0499999999999998</v>
      </c>
      <c r="G962" s="37">
        <f t="shared" si="5"/>
        <v>8.4459999999999993E-2</v>
      </c>
    </row>
    <row r="963" spans="2:7" ht="22.5" x14ac:dyDescent="0.25">
      <c r="B963" s="50">
        <v>90466</v>
      </c>
      <c r="C963" s="117" t="s">
        <v>518</v>
      </c>
      <c r="D963" s="216" t="s">
        <v>11</v>
      </c>
      <c r="E963" s="54">
        <v>1.4999999999999999E-2</v>
      </c>
      <c r="F963" s="27">
        <v>10.62</v>
      </c>
      <c r="G963" s="37">
        <f t="shared" si="5"/>
        <v>0.15929999999999997</v>
      </c>
    </row>
    <row r="964" spans="2:7" ht="22.5" x14ac:dyDescent="0.25">
      <c r="B964" s="50">
        <v>91190</v>
      </c>
      <c r="C964" s="117" t="s">
        <v>520</v>
      </c>
      <c r="D964" s="216" t="s">
        <v>180</v>
      </c>
      <c r="E964" s="54">
        <v>9.1000000000000004E-3</v>
      </c>
      <c r="F964" s="27">
        <v>4.13</v>
      </c>
      <c r="G964" s="37">
        <f t="shared" si="5"/>
        <v>3.7582999999999998E-2</v>
      </c>
    </row>
    <row r="965" spans="2:7" x14ac:dyDescent="0.25">
      <c r="B965" s="215"/>
      <c r="C965" s="25"/>
      <c r="D965" s="25"/>
      <c r="E965" s="53"/>
      <c r="F965" s="39" t="s">
        <v>183</v>
      </c>
      <c r="G965" s="40">
        <f>SUM(G959:G964)</f>
        <v>0.57204299999999997</v>
      </c>
    </row>
    <row r="966" spans="2:7" x14ac:dyDescent="0.25">
      <c r="B966" s="358" t="s">
        <v>182</v>
      </c>
      <c r="C966" s="359"/>
      <c r="D966" s="216"/>
      <c r="E966" s="26"/>
      <c r="F966" s="36"/>
      <c r="G966" s="37"/>
    </row>
    <row r="967" spans="2:7" ht="22.5" x14ac:dyDescent="0.25">
      <c r="B967" s="50">
        <v>89357</v>
      </c>
      <c r="C967" s="55" t="s">
        <v>540</v>
      </c>
      <c r="D967" s="216" t="s">
        <v>11</v>
      </c>
      <c r="E967" s="58">
        <v>7.6499999999999999E-2</v>
      </c>
      <c r="F967" s="42">
        <v>23.66</v>
      </c>
      <c r="G967" s="37">
        <f t="shared" ref="G967:G985" si="6">E967*F967</f>
        <v>1.80999</v>
      </c>
    </row>
    <row r="968" spans="2:7" ht="22.5" x14ac:dyDescent="0.25">
      <c r="B968" s="50">
        <v>89386</v>
      </c>
      <c r="C968" s="55" t="s">
        <v>541</v>
      </c>
      <c r="D968" s="216" t="s">
        <v>180</v>
      </c>
      <c r="E968" s="58">
        <v>1.14E-2</v>
      </c>
      <c r="F968" s="42">
        <v>6.48</v>
      </c>
      <c r="G968" s="37">
        <f t="shared" si="6"/>
        <v>7.3872000000000007E-2</v>
      </c>
    </row>
    <row r="969" spans="2:7" ht="22.5" x14ac:dyDescent="0.25">
      <c r="B969" s="50">
        <v>89388</v>
      </c>
      <c r="C969" s="55" t="s">
        <v>542</v>
      </c>
      <c r="D969" s="216" t="s">
        <v>180</v>
      </c>
      <c r="E969" s="58">
        <v>8.5599999999999996E-2</v>
      </c>
      <c r="F969" s="42">
        <v>7.71</v>
      </c>
      <c r="G969" s="37">
        <f t="shared" si="6"/>
        <v>0.65997600000000001</v>
      </c>
    </row>
    <row r="970" spans="2:7" ht="22.5" x14ac:dyDescent="0.25">
      <c r="B970" s="50">
        <v>89398</v>
      </c>
      <c r="C970" s="55" t="s">
        <v>543</v>
      </c>
      <c r="D970" s="216" t="s">
        <v>180</v>
      </c>
      <c r="E970" s="58">
        <v>0.28470000000000001</v>
      </c>
      <c r="F970" s="42">
        <v>12.5</v>
      </c>
      <c r="G970" s="37">
        <f t="shared" si="6"/>
        <v>3.5587500000000003</v>
      </c>
    </row>
    <row r="971" spans="2:7" ht="22.5" x14ac:dyDescent="0.25">
      <c r="B971" s="50">
        <v>89403</v>
      </c>
      <c r="C971" s="55" t="s">
        <v>544</v>
      </c>
      <c r="D971" s="216" t="s">
        <v>11</v>
      </c>
      <c r="E971" s="58">
        <v>0.36699999999999999</v>
      </c>
      <c r="F971" s="42">
        <v>11.71</v>
      </c>
      <c r="G971" s="37">
        <f t="shared" si="6"/>
        <v>4.2975700000000003</v>
      </c>
    </row>
    <row r="972" spans="2:7" ht="22.5" x14ac:dyDescent="0.25">
      <c r="B972" s="50">
        <v>89413</v>
      </c>
      <c r="C972" s="55" t="s">
        <v>545</v>
      </c>
      <c r="D972" s="216" t="s">
        <v>180</v>
      </c>
      <c r="E972" s="58">
        <v>5.9900000000000002E-2</v>
      </c>
      <c r="F972" s="42">
        <v>6.19</v>
      </c>
      <c r="G972" s="37">
        <f t="shared" si="6"/>
        <v>0.37078100000000003</v>
      </c>
    </row>
    <row r="973" spans="2:7" ht="22.5" x14ac:dyDescent="0.25">
      <c r="B973" s="50">
        <v>89414</v>
      </c>
      <c r="C973" s="55" t="s">
        <v>546</v>
      </c>
      <c r="D973" s="216" t="s">
        <v>180</v>
      </c>
      <c r="E973" s="58">
        <v>2.4199999999999999E-2</v>
      </c>
      <c r="F973" s="42">
        <v>7.21</v>
      </c>
      <c r="G973" s="37">
        <f t="shared" si="6"/>
        <v>0.174482</v>
      </c>
    </row>
    <row r="974" spans="2:7" ht="22.5" x14ac:dyDescent="0.25">
      <c r="B974" s="50">
        <v>89431</v>
      </c>
      <c r="C974" s="55" t="s">
        <v>547</v>
      </c>
      <c r="D974" s="216" t="s">
        <v>180</v>
      </c>
      <c r="E974" s="58">
        <v>5.5500000000000001E-2</v>
      </c>
      <c r="F974" s="42">
        <v>4.5999999999999996</v>
      </c>
      <c r="G974" s="37">
        <f t="shared" si="6"/>
        <v>0.25529999999999997</v>
      </c>
    </row>
    <row r="975" spans="2:7" ht="22.5" x14ac:dyDescent="0.25">
      <c r="B975" s="50">
        <v>89435</v>
      </c>
      <c r="C975" s="55" t="s">
        <v>548</v>
      </c>
      <c r="D975" s="216" t="s">
        <v>180</v>
      </c>
      <c r="E975" s="58">
        <v>1.78E-2</v>
      </c>
      <c r="F975" s="42">
        <v>13.06</v>
      </c>
      <c r="G975" s="37">
        <f t="shared" si="6"/>
        <v>0.23246800000000001</v>
      </c>
    </row>
    <row r="976" spans="2:7" ht="33.75" x14ac:dyDescent="0.25">
      <c r="B976" s="50">
        <v>89436</v>
      </c>
      <c r="C976" s="55" t="s">
        <v>549</v>
      </c>
      <c r="D976" s="216" t="s">
        <v>180</v>
      </c>
      <c r="E976" s="58">
        <v>5.8400000000000001E-2</v>
      </c>
      <c r="F976" s="42">
        <v>4.6900000000000004</v>
      </c>
      <c r="G976" s="37">
        <f t="shared" si="6"/>
        <v>0.27389600000000003</v>
      </c>
    </row>
    <row r="977" spans="2:7" ht="22.5" x14ac:dyDescent="0.25">
      <c r="B977" s="50">
        <v>89443</v>
      </c>
      <c r="C977" s="55" t="s">
        <v>550</v>
      </c>
      <c r="D977" s="216" t="s">
        <v>180</v>
      </c>
      <c r="E977" s="58">
        <v>4.0599999999999997E-2</v>
      </c>
      <c r="F977" s="42">
        <v>8.7899999999999991</v>
      </c>
      <c r="G977" s="37">
        <f t="shared" si="6"/>
        <v>0.35687399999999991</v>
      </c>
    </row>
    <row r="978" spans="2:7" ht="22.5" x14ac:dyDescent="0.25">
      <c r="B978" s="50">
        <v>89447</v>
      </c>
      <c r="C978" s="55" t="s">
        <v>551</v>
      </c>
      <c r="D978" s="216" t="s">
        <v>11</v>
      </c>
      <c r="E978" s="58">
        <v>0.55649999999999999</v>
      </c>
      <c r="F978" s="42">
        <v>7.25</v>
      </c>
      <c r="G978" s="37">
        <f t="shared" si="6"/>
        <v>4.0346250000000001</v>
      </c>
    </row>
    <row r="979" spans="2:7" ht="22.5" x14ac:dyDescent="0.25">
      <c r="B979" s="50">
        <v>89492</v>
      </c>
      <c r="C979" s="55" t="s">
        <v>552</v>
      </c>
      <c r="D979" s="216" t="s">
        <v>180</v>
      </c>
      <c r="E979" s="58">
        <v>0.15640000000000001</v>
      </c>
      <c r="F979" s="42">
        <v>4.8600000000000003</v>
      </c>
      <c r="G979" s="37">
        <f t="shared" si="6"/>
        <v>0.76010400000000011</v>
      </c>
    </row>
    <row r="980" spans="2:7" ht="22.5" x14ac:dyDescent="0.25">
      <c r="B980" s="50">
        <v>89541</v>
      </c>
      <c r="C980" s="55" t="s">
        <v>553</v>
      </c>
      <c r="D980" s="216" t="s">
        <v>180</v>
      </c>
      <c r="E980" s="58">
        <v>0.21079999999999999</v>
      </c>
      <c r="F980" s="42">
        <v>3.73</v>
      </c>
      <c r="G980" s="37">
        <f t="shared" si="6"/>
        <v>0.78628399999999998</v>
      </c>
    </row>
    <row r="981" spans="2:7" ht="22.5" x14ac:dyDescent="0.25">
      <c r="B981" s="50">
        <v>89553</v>
      </c>
      <c r="C981" s="55" t="s">
        <v>554</v>
      </c>
      <c r="D981" s="216" t="s">
        <v>180</v>
      </c>
      <c r="E981" s="58">
        <v>9.8500000000000004E-2</v>
      </c>
      <c r="F981" s="42">
        <v>3.82</v>
      </c>
      <c r="G981" s="37">
        <f t="shared" si="6"/>
        <v>0.37626999999999999</v>
      </c>
    </row>
    <row r="982" spans="2:7" ht="22.5" x14ac:dyDescent="0.25">
      <c r="B982" s="50">
        <v>89562</v>
      </c>
      <c r="C982" s="55" t="s">
        <v>555</v>
      </c>
      <c r="D982" s="216" t="s">
        <v>180</v>
      </c>
      <c r="E982" s="58">
        <v>2.58E-2</v>
      </c>
      <c r="F982" s="42">
        <v>5.59</v>
      </c>
      <c r="G982" s="37">
        <f t="shared" si="6"/>
        <v>0.14422199999999999</v>
      </c>
    </row>
    <row r="983" spans="2:7" ht="22.5" x14ac:dyDescent="0.25">
      <c r="B983" s="50">
        <v>89620</v>
      </c>
      <c r="C983" s="55" t="s">
        <v>556</v>
      </c>
      <c r="D983" s="216" t="s">
        <v>180</v>
      </c>
      <c r="E983" s="58">
        <v>0.13120000000000001</v>
      </c>
      <c r="F983" s="42">
        <v>7.02</v>
      </c>
      <c r="G983" s="37">
        <f t="shared" si="6"/>
        <v>0.92102400000000006</v>
      </c>
    </row>
    <row r="984" spans="2:7" ht="22.5" x14ac:dyDescent="0.25">
      <c r="B984" s="50">
        <v>89622</v>
      </c>
      <c r="C984" s="55" t="s">
        <v>538</v>
      </c>
      <c r="D984" s="216" t="s">
        <v>180</v>
      </c>
      <c r="E984" s="58">
        <v>6.4100000000000004E-2</v>
      </c>
      <c r="F984" s="42">
        <v>8.6999999999999993</v>
      </c>
      <c r="G984" s="37">
        <f t="shared" si="6"/>
        <v>0.55767</v>
      </c>
    </row>
    <row r="985" spans="2:7" ht="22.5" x14ac:dyDescent="0.25">
      <c r="B985" s="50">
        <v>89624</v>
      </c>
      <c r="C985" s="55" t="s">
        <v>557</v>
      </c>
      <c r="D985" s="216" t="s">
        <v>180</v>
      </c>
      <c r="E985" s="58">
        <v>1.52E-2</v>
      </c>
      <c r="F985" s="42">
        <v>11.17</v>
      </c>
      <c r="G985" s="37">
        <f t="shared" si="6"/>
        <v>0.16978399999999999</v>
      </c>
    </row>
    <row r="986" spans="2:7" x14ac:dyDescent="0.25">
      <c r="B986" s="215"/>
      <c r="C986" s="25"/>
      <c r="D986" s="25"/>
      <c r="E986" s="26"/>
      <c r="F986" s="27" t="s">
        <v>179</v>
      </c>
      <c r="G986" s="40">
        <f>SUM(G967:G985)</f>
        <v>19.813942000000001</v>
      </c>
    </row>
    <row r="987" spans="2:7" ht="15.75" thickBot="1" x14ac:dyDescent="0.3">
      <c r="B987" s="215"/>
      <c r="C987" s="17"/>
      <c r="D987" s="25"/>
      <c r="E987" s="26"/>
      <c r="F987" s="16"/>
      <c r="G987" s="43"/>
    </row>
    <row r="988" spans="2:7" ht="15.75" thickBot="1" x14ac:dyDescent="0.3">
      <c r="B988" s="44" t="s">
        <v>240</v>
      </c>
      <c r="C988" s="45" t="s">
        <v>328</v>
      </c>
      <c r="D988" s="46"/>
      <c r="E988" s="47"/>
      <c r="F988" s="16" t="s">
        <v>178</v>
      </c>
      <c r="G988" s="113">
        <f>G965+G986</f>
        <v>20.385985000000002</v>
      </c>
    </row>
    <row r="989" spans="2:7" x14ac:dyDescent="0.25">
      <c r="B989" s="30" t="s">
        <v>164</v>
      </c>
      <c r="C989" s="51" t="s">
        <v>276</v>
      </c>
      <c r="D989" s="32"/>
      <c r="E989" s="69" t="s">
        <v>329</v>
      </c>
      <c r="F989" s="33" t="s">
        <v>192</v>
      </c>
      <c r="G989" s="34" t="s">
        <v>214</v>
      </c>
    </row>
    <row r="990" spans="2:7" x14ac:dyDescent="0.25">
      <c r="B990" s="35" t="s">
        <v>0</v>
      </c>
      <c r="C990" s="20" t="s">
        <v>1</v>
      </c>
      <c r="D990" s="20" t="s">
        <v>190</v>
      </c>
      <c r="E990" s="59" t="s">
        <v>189</v>
      </c>
      <c r="F990" s="18" t="s">
        <v>188</v>
      </c>
      <c r="G990" s="64" t="s">
        <v>187</v>
      </c>
    </row>
    <row r="991" spans="2:7" x14ac:dyDescent="0.25">
      <c r="B991" s="358" t="s">
        <v>186</v>
      </c>
      <c r="C991" s="359"/>
      <c r="D991" s="216"/>
      <c r="E991" s="26"/>
      <c r="F991" s="36"/>
      <c r="G991" s="37"/>
    </row>
    <row r="992" spans="2:7" x14ac:dyDescent="0.25">
      <c r="B992" s="50">
        <v>90436</v>
      </c>
      <c r="C992" s="117" t="s">
        <v>515</v>
      </c>
      <c r="D992" s="216" t="s">
        <v>180</v>
      </c>
      <c r="E992" s="58">
        <v>0.2596</v>
      </c>
      <c r="F992" s="27">
        <v>12</v>
      </c>
      <c r="G992" s="37">
        <f t="shared" ref="G992:G997" si="7">E992*F992</f>
        <v>3.1151999999999997</v>
      </c>
    </row>
    <row r="993" spans="2:7" ht="22.5" x14ac:dyDescent="0.25">
      <c r="B993" s="50">
        <v>90443</v>
      </c>
      <c r="C993" s="117" t="s">
        <v>516</v>
      </c>
      <c r="D993" s="216" t="s">
        <v>11</v>
      </c>
      <c r="E993" s="58">
        <v>0.26090000000000002</v>
      </c>
      <c r="F993" s="27">
        <v>10.9</v>
      </c>
      <c r="G993" s="37">
        <f t="shared" si="7"/>
        <v>2.8438100000000004</v>
      </c>
    </row>
    <row r="994" spans="2:7" ht="22.5" x14ac:dyDescent="0.25">
      <c r="B994" s="50">
        <v>90453</v>
      </c>
      <c r="C994" s="117" t="s">
        <v>517</v>
      </c>
      <c r="D994" s="216" t="s">
        <v>180</v>
      </c>
      <c r="E994" s="58">
        <v>0.22220000000000001</v>
      </c>
      <c r="F994" s="27">
        <v>2.0499999999999998</v>
      </c>
      <c r="G994" s="37">
        <f t="shared" si="7"/>
        <v>0.45550999999999997</v>
      </c>
    </row>
    <row r="995" spans="2:7" ht="22.5" x14ac:dyDescent="0.25">
      <c r="B995" s="50">
        <v>90466</v>
      </c>
      <c r="C995" s="117" t="s">
        <v>518</v>
      </c>
      <c r="D995" s="216" t="s">
        <v>11</v>
      </c>
      <c r="E995" s="58">
        <v>0.26090000000000002</v>
      </c>
      <c r="F995" s="27">
        <v>10.62</v>
      </c>
      <c r="G995" s="37">
        <f t="shared" si="7"/>
        <v>2.7707579999999998</v>
      </c>
    </row>
    <row r="996" spans="2:7" ht="33.75" x14ac:dyDescent="0.25">
      <c r="B996" s="50">
        <v>91185</v>
      </c>
      <c r="C996" s="117" t="s">
        <v>519</v>
      </c>
      <c r="D996" s="216" t="s">
        <v>11</v>
      </c>
      <c r="E996" s="58">
        <v>0.80220000000000002</v>
      </c>
      <c r="F996" s="27">
        <v>5.78</v>
      </c>
      <c r="G996" s="37">
        <f t="shared" si="7"/>
        <v>4.6367160000000007</v>
      </c>
    </row>
    <row r="997" spans="2:7" ht="22.5" x14ac:dyDescent="0.25">
      <c r="B997" s="50">
        <v>91190</v>
      </c>
      <c r="C997" s="117" t="s">
        <v>520</v>
      </c>
      <c r="D997" s="216" t="s">
        <v>180</v>
      </c>
      <c r="E997" s="58">
        <v>0.2596</v>
      </c>
      <c r="F997" s="27">
        <v>4.13</v>
      </c>
      <c r="G997" s="37">
        <f t="shared" si="7"/>
        <v>1.0721479999999999</v>
      </c>
    </row>
    <row r="998" spans="2:7" x14ac:dyDescent="0.25">
      <c r="B998" s="215"/>
      <c r="C998" s="25"/>
      <c r="D998" s="25"/>
      <c r="E998" s="53"/>
      <c r="F998" s="39" t="s">
        <v>183</v>
      </c>
      <c r="G998" s="40">
        <f>SUM(G992:G997)</f>
        <v>14.894142</v>
      </c>
    </row>
    <row r="999" spans="2:7" x14ac:dyDescent="0.25">
      <c r="B999" s="358" t="s">
        <v>182</v>
      </c>
      <c r="C999" s="359"/>
      <c r="D999" s="216"/>
      <c r="E999" s="26"/>
      <c r="F999" s="36"/>
      <c r="G999" s="37"/>
    </row>
    <row r="1000" spans="2:7" ht="22.5" x14ac:dyDescent="0.25">
      <c r="B1000" s="50">
        <v>89711</v>
      </c>
      <c r="C1000" s="55" t="s">
        <v>559</v>
      </c>
      <c r="D1000" s="216" t="s">
        <v>11</v>
      </c>
      <c r="E1000" s="54">
        <v>1</v>
      </c>
      <c r="F1000" s="42">
        <v>14.68</v>
      </c>
      <c r="G1000" s="37">
        <f>E1000*F1000</f>
        <v>14.68</v>
      </c>
    </row>
    <row r="1001" spans="2:7" ht="33.75" x14ac:dyDescent="0.25">
      <c r="B1001" s="50">
        <v>89724</v>
      </c>
      <c r="C1001" s="55" t="s">
        <v>560</v>
      </c>
      <c r="D1001" s="216" t="s">
        <v>180</v>
      </c>
      <c r="E1001" s="54">
        <v>0.85840000000000005</v>
      </c>
      <c r="F1001" s="42">
        <v>5.83</v>
      </c>
      <c r="G1001" s="37">
        <f>E1001*F1001</f>
        <v>5.0044720000000007</v>
      </c>
    </row>
    <row r="1002" spans="2:7" ht="33.75" x14ac:dyDescent="0.25">
      <c r="B1002" s="50">
        <v>89726</v>
      </c>
      <c r="C1002" s="55" t="s">
        <v>561</v>
      </c>
      <c r="D1002" s="216" t="s">
        <v>180</v>
      </c>
      <c r="E1002" s="54">
        <v>0.76910000000000001</v>
      </c>
      <c r="F1002" s="42">
        <v>6.43</v>
      </c>
      <c r="G1002" s="37">
        <f>E1002*F1002</f>
        <v>4.9453129999999996</v>
      </c>
    </row>
    <row r="1003" spans="2:7" ht="33.75" x14ac:dyDescent="0.25">
      <c r="B1003" s="50">
        <v>89752</v>
      </c>
      <c r="C1003" s="55" t="s">
        <v>562</v>
      </c>
      <c r="D1003" s="216" t="s">
        <v>180</v>
      </c>
      <c r="E1003" s="54">
        <v>0.29239999999999999</v>
      </c>
      <c r="F1003" s="42">
        <v>4.49</v>
      </c>
      <c r="G1003" s="37">
        <f>E1003*F1003</f>
        <v>1.3128759999999999</v>
      </c>
    </row>
    <row r="1004" spans="2:7" ht="33.75" x14ac:dyDescent="0.25">
      <c r="B1004" s="50">
        <v>89783</v>
      </c>
      <c r="C1004" s="55" t="s">
        <v>563</v>
      </c>
      <c r="D1004" s="216" t="s">
        <v>180</v>
      </c>
      <c r="E1004" s="54">
        <v>0.31159999999999999</v>
      </c>
      <c r="F1004" s="42">
        <v>8.68</v>
      </c>
      <c r="G1004" s="37">
        <f>E1004*F1004</f>
        <v>2.704688</v>
      </c>
    </row>
    <row r="1005" spans="2:7" x14ac:dyDescent="0.25">
      <c r="B1005" s="215"/>
      <c r="C1005" s="25"/>
      <c r="D1005" s="25"/>
      <c r="E1005" s="26"/>
      <c r="F1005" s="27" t="s">
        <v>179</v>
      </c>
      <c r="G1005" s="40">
        <f>SUM(G1000:G1004)</f>
        <v>28.647348999999998</v>
      </c>
    </row>
    <row r="1006" spans="2:7" ht="15.75" thickBot="1" x14ac:dyDescent="0.3">
      <c r="B1006" s="215"/>
      <c r="C1006" s="17"/>
      <c r="D1006" s="25"/>
      <c r="E1006" s="26"/>
      <c r="F1006" s="16"/>
      <c r="G1006" s="43"/>
    </row>
    <row r="1007" spans="2:7" ht="15.75" thickBot="1" x14ac:dyDescent="0.3">
      <c r="B1007" s="44" t="s">
        <v>240</v>
      </c>
      <c r="C1007" s="45" t="s">
        <v>329</v>
      </c>
      <c r="D1007" s="46"/>
      <c r="E1007" s="47"/>
      <c r="F1007" s="16" t="s">
        <v>178</v>
      </c>
      <c r="G1007" s="113">
        <f>G998+G1005</f>
        <v>43.541491000000001</v>
      </c>
    </row>
    <row r="1008" spans="2:7" x14ac:dyDescent="0.25">
      <c r="B1008" s="30" t="s">
        <v>564</v>
      </c>
      <c r="C1008" s="51" t="s">
        <v>278</v>
      </c>
      <c r="D1008" s="32"/>
      <c r="E1008" s="69" t="s">
        <v>330</v>
      </c>
      <c r="F1008" s="33" t="s">
        <v>192</v>
      </c>
      <c r="G1008" s="34" t="s">
        <v>214</v>
      </c>
    </row>
    <row r="1009" spans="2:7" x14ac:dyDescent="0.25">
      <c r="B1009" s="35" t="s">
        <v>0</v>
      </c>
      <c r="C1009" s="20" t="s">
        <v>1</v>
      </c>
      <c r="D1009" s="20" t="s">
        <v>190</v>
      </c>
      <c r="E1009" s="59" t="s">
        <v>189</v>
      </c>
      <c r="F1009" s="18" t="s">
        <v>188</v>
      </c>
      <c r="G1009" s="64" t="s">
        <v>187</v>
      </c>
    </row>
    <row r="1010" spans="2:7" x14ac:dyDescent="0.25">
      <c r="B1010" s="358" t="s">
        <v>186</v>
      </c>
      <c r="C1010" s="359"/>
      <c r="D1010" s="216"/>
      <c r="E1010" s="26"/>
      <c r="F1010" s="36"/>
      <c r="G1010" s="37"/>
    </row>
    <row r="1011" spans="2:7" ht="22.5" x14ac:dyDescent="0.25">
      <c r="B1011" s="50">
        <v>90437</v>
      </c>
      <c r="C1011" s="117" t="s">
        <v>565</v>
      </c>
      <c r="D1011" s="216" t="s">
        <v>180</v>
      </c>
      <c r="E1011" s="58">
        <v>0.17180000000000001</v>
      </c>
      <c r="F1011" s="27">
        <v>29.15</v>
      </c>
      <c r="G1011" s="37">
        <f t="shared" ref="G1011:G1016" si="8">E1011*F1011</f>
        <v>5.0079700000000003</v>
      </c>
    </row>
    <row r="1012" spans="2:7" ht="22.5" x14ac:dyDescent="0.25">
      <c r="B1012" s="50">
        <v>90454</v>
      </c>
      <c r="C1012" s="117" t="s">
        <v>566</v>
      </c>
      <c r="D1012" s="216" t="s">
        <v>180</v>
      </c>
      <c r="E1012" s="58">
        <v>4.2099999999999999E-2</v>
      </c>
      <c r="F1012" s="27">
        <v>3.48</v>
      </c>
      <c r="G1012" s="37">
        <f t="shared" si="8"/>
        <v>0.146508</v>
      </c>
    </row>
    <row r="1013" spans="2:7" ht="22.5" x14ac:dyDescent="0.25">
      <c r="B1013" s="50">
        <v>90467</v>
      </c>
      <c r="C1013" s="117" t="s">
        <v>567</v>
      </c>
      <c r="D1013" s="216" t="s">
        <v>11</v>
      </c>
      <c r="E1013" s="58">
        <v>0.1074</v>
      </c>
      <c r="F1013" s="27">
        <v>16.79</v>
      </c>
      <c r="G1013" s="37">
        <f t="shared" si="8"/>
        <v>1.8032459999999999</v>
      </c>
    </row>
    <row r="1014" spans="2:7" ht="33.75" x14ac:dyDescent="0.25">
      <c r="B1014" s="50">
        <v>91186</v>
      </c>
      <c r="C1014" s="117" t="s">
        <v>568</v>
      </c>
      <c r="D1014" s="216" t="s">
        <v>11</v>
      </c>
      <c r="E1014" s="58">
        <v>3.5299999999999998E-2</v>
      </c>
      <c r="F1014" s="27">
        <v>4.78</v>
      </c>
      <c r="G1014" s="37">
        <f t="shared" si="8"/>
        <v>0.168734</v>
      </c>
    </row>
    <row r="1015" spans="2:7" ht="22.5" x14ac:dyDescent="0.25">
      <c r="B1015" s="50">
        <v>91191</v>
      </c>
      <c r="C1015" s="117" t="s">
        <v>569</v>
      </c>
      <c r="D1015" s="216" t="s">
        <v>180</v>
      </c>
      <c r="E1015" s="58">
        <v>0.17180000000000001</v>
      </c>
      <c r="F1015" s="27">
        <v>4.38</v>
      </c>
      <c r="G1015" s="37">
        <f t="shared" si="8"/>
        <v>0.75248400000000004</v>
      </c>
    </row>
    <row r="1016" spans="2:7" ht="22.5" x14ac:dyDescent="0.25">
      <c r="B1016" s="50">
        <v>91222</v>
      </c>
      <c r="C1016" s="117" t="s">
        <v>570</v>
      </c>
      <c r="D1016" s="216" t="s">
        <v>11</v>
      </c>
      <c r="E1016" s="58">
        <v>0.1074</v>
      </c>
      <c r="F1016" s="27">
        <v>11.74</v>
      </c>
      <c r="G1016" s="37">
        <f t="shared" si="8"/>
        <v>1.2608759999999999</v>
      </c>
    </row>
    <row r="1017" spans="2:7" x14ac:dyDescent="0.25">
      <c r="B1017" s="215"/>
      <c r="C1017" s="25"/>
      <c r="D1017" s="25"/>
      <c r="E1017" s="53"/>
      <c r="F1017" s="39" t="s">
        <v>183</v>
      </c>
      <c r="G1017" s="40">
        <f>SUM(G1011:G1016)</f>
        <v>9.139818</v>
      </c>
    </row>
    <row r="1018" spans="2:7" x14ac:dyDescent="0.25">
      <c r="B1018" s="358" t="s">
        <v>182</v>
      </c>
      <c r="C1018" s="359"/>
      <c r="D1018" s="216"/>
      <c r="E1018" s="26"/>
      <c r="F1018" s="36"/>
      <c r="G1018" s="37"/>
    </row>
    <row r="1019" spans="2:7" ht="22.5" x14ac:dyDescent="0.25">
      <c r="B1019" s="50">
        <v>89712</v>
      </c>
      <c r="C1019" s="123" t="s">
        <v>571</v>
      </c>
      <c r="D1019" s="216" t="s">
        <v>11</v>
      </c>
      <c r="E1019" s="54">
        <v>1</v>
      </c>
      <c r="F1019" s="42">
        <v>21.05</v>
      </c>
      <c r="G1019" s="37">
        <f t="shared" ref="G1019:G1024" si="9">E1019*F1019</f>
        <v>21.05</v>
      </c>
    </row>
    <row r="1020" spans="2:7" ht="33.75" x14ac:dyDescent="0.25">
      <c r="B1020" s="50">
        <v>89731</v>
      </c>
      <c r="C1020" s="123" t="s">
        <v>572</v>
      </c>
      <c r="D1020" s="216" t="s">
        <v>180</v>
      </c>
      <c r="E1020" s="54">
        <v>1.4222999999999999</v>
      </c>
      <c r="F1020" s="42">
        <v>7.72</v>
      </c>
      <c r="G1020" s="37">
        <f t="shared" si="9"/>
        <v>10.980155999999999</v>
      </c>
    </row>
    <row r="1021" spans="2:7" ht="33.75" x14ac:dyDescent="0.25">
      <c r="B1021" s="50">
        <v>89732</v>
      </c>
      <c r="C1021" s="123" t="s">
        <v>573</v>
      </c>
      <c r="D1021" s="216" t="s">
        <v>180</v>
      </c>
      <c r="E1021" s="54">
        <v>1.4991000000000001</v>
      </c>
      <c r="F1021" s="42">
        <v>8.16</v>
      </c>
      <c r="G1021" s="37">
        <f t="shared" si="9"/>
        <v>12.232656</v>
      </c>
    </row>
    <row r="1022" spans="2:7" ht="33.75" x14ac:dyDescent="0.25">
      <c r="B1022" s="50">
        <v>89753</v>
      </c>
      <c r="C1022" s="123" t="s">
        <v>574</v>
      </c>
      <c r="D1022" s="216" t="s">
        <v>180</v>
      </c>
      <c r="E1022" s="54">
        <v>1.2919</v>
      </c>
      <c r="F1022" s="42">
        <v>6.13</v>
      </c>
      <c r="G1022" s="37">
        <f t="shared" si="9"/>
        <v>7.9193470000000001</v>
      </c>
    </row>
    <row r="1023" spans="2:7" ht="33.75" x14ac:dyDescent="0.25">
      <c r="B1023" s="50">
        <v>89784</v>
      </c>
      <c r="C1023" s="123" t="s">
        <v>575</v>
      </c>
      <c r="D1023" s="216" t="s">
        <v>180</v>
      </c>
      <c r="E1023" s="54">
        <v>7.0000000000000007E-2</v>
      </c>
      <c r="F1023" s="42">
        <v>13.19</v>
      </c>
      <c r="G1023" s="37">
        <f t="shared" si="9"/>
        <v>0.92330000000000001</v>
      </c>
    </row>
    <row r="1024" spans="2:7" ht="33.75" x14ac:dyDescent="0.25">
      <c r="B1024" s="50">
        <v>89813</v>
      </c>
      <c r="C1024" s="117" t="s">
        <v>576</v>
      </c>
      <c r="D1024" s="25" t="s">
        <v>180</v>
      </c>
      <c r="E1024" s="54">
        <v>2.7799999999999998E-2</v>
      </c>
      <c r="F1024" s="42">
        <v>4.2</v>
      </c>
      <c r="G1024" s="37">
        <f t="shared" si="9"/>
        <v>0.11676</v>
      </c>
    </row>
    <row r="1025" spans="2:7" x14ac:dyDescent="0.25">
      <c r="B1025" s="50"/>
      <c r="C1025" s="25"/>
      <c r="D1025" s="25"/>
      <c r="E1025" s="54"/>
      <c r="F1025" s="27" t="s">
        <v>179</v>
      </c>
      <c r="G1025" s="40">
        <f>SUM(G1019:G1024)</f>
        <v>53.222218999999996</v>
      </c>
    </row>
    <row r="1026" spans="2:7" ht="15.75" thickBot="1" x14ac:dyDescent="0.3">
      <c r="B1026" s="215"/>
      <c r="C1026" s="17"/>
      <c r="D1026" s="25"/>
      <c r="E1026" s="26"/>
      <c r="F1026" s="16"/>
      <c r="G1026" s="43"/>
    </row>
    <row r="1027" spans="2:7" ht="15.75" thickBot="1" x14ac:dyDescent="0.3">
      <c r="B1027" s="44" t="s">
        <v>240</v>
      </c>
      <c r="C1027" s="45" t="s">
        <v>330</v>
      </c>
      <c r="D1027" s="46"/>
      <c r="E1027" s="47"/>
      <c r="F1027" s="16" t="s">
        <v>178</v>
      </c>
      <c r="G1027" s="113">
        <f>G1017+G1025</f>
        <v>62.362036999999994</v>
      </c>
    </row>
    <row r="1028" spans="2:7" x14ac:dyDescent="0.25">
      <c r="B1028" s="30" t="s">
        <v>165</v>
      </c>
      <c r="C1028" s="51" t="s">
        <v>281</v>
      </c>
      <c r="D1028" s="32"/>
      <c r="E1028" s="69" t="s">
        <v>331</v>
      </c>
      <c r="F1028" s="33" t="s">
        <v>192</v>
      </c>
      <c r="G1028" s="34" t="s">
        <v>214</v>
      </c>
    </row>
    <row r="1029" spans="2:7" x14ac:dyDescent="0.25">
      <c r="B1029" s="35" t="s">
        <v>0</v>
      </c>
      <c r="C1029" s="20" t="s">
        <v>1</v>
      </c>
      <c r="D1029" s="20" t="s">
        <v>190</v>
      </c>
      <c r="E1029" s="59" t="s">
        <v>189</v>
      </c>
      <c r="F1029" s="18" t="s">
        <v>188</v>
      </c>
      <c r="G1029" s="64" t="s">
        <v>187</v>
      </c>
    </row>
    <row r="1030" spans="2:7" x14ac:dyDescent="0.25">
      <c r="B1030" s="358" t="s">
        <v>186</v>
      </c>
      <c r="C1030" s="359"/>
      <c r="D1030" s="216"/>
      <c r="E1030" s="26"/>
      <c r="F1030" s="36"/>
      <c r="G1030" s="37"/>
    </row>
    <row r="1031" spans="2:7" x14ac:dyDescent="0.25">
      <c r="B1031" s="50">
        <v>90438</v>
      </c>
      <c r="C1031" s="122" t="s">
        <v>577</v>
      </c>
      <c r="D1031" s="121" t="s">
        <v>180</v>
      </c>
      <c r="E1031" s="118">
        <v>9.9949999999999997E-2</v>
      </c>
      <c r="F1031" s="27">
        <v>41.79</v>
      </c>
      <c r="G1031" s="37">
        <f>E1031*F1031</f>
        <v>4.1769105</v>
      </c>
    </row>
    <row r="1032" spans="2:7" ht="22.5" x14ac:dyDescent="0.25">
      <c r="B1032" s="50">
        <v>90455</v>
      </c>
      <c r="C1032" s="122" t="s">
        <v>578</v>
      </c>
      <c r="D1032" s="121" t="s">
        <v>180</v>
      </c>
      <c r="E1032" s="118">
        <v>0.23230000000000001</v>
      </c>
      <c r="F1032" s="27">
        <v>4.7300000000000004</v>
      </c>
      <c r="G1032" s="37">
        <f>E1032*F1032</f>
        <v>1.0987790000000002</v>
      </c>
    </row>
    <row r="1033" spans="2:7" ht="33.75" x14ac:dyDescent="0.25">
      <c r="B1033" s="50">
        <v>91187</v>
      </c>
      <c r="C1033" s="122" t="s">
        <v>579</v>
      </c>
      <c r="D1033" s="121" t="s">
        <v>11</v>
      </c>
      <c r="E1033" s="118">
        <v>0.1239</v>
      </c>
      <c r="F1033" s="27">
        <v>5.52</v>
      </c>
      <c r="G1033" s="37">
        <f>E1033*F1033</f>
        <v>0.68392799999999998</v>
      </c>
    </row>
    <row r="1034" spans="2:7" ht="22.5" x14ac:dyDescent="0.25">
      <c r="B1034" s="50">
        <v>91192</v>
      </c>
      <c r="C1034" s="122" t="s">
        <v>580</v>
      </c>
      <c r="D1034" s="121" t="s">
        <v>180</v>
      </c>
      <c r="E1034" s="118">
        <v>9.9500000000000005E-2</v>
      </c>
      <c r="F1034" s="27">
        <v>4.87</v>
      </c>
      <c r="G1034" s="37">
        <f>E1034*F1034</f>
        <v>0.48456500000000002</v>
      </c>
    </row>
    <row r="1035" spans="2:7" x14ac:dyDescent="0.25">
      <c r="B1035" s="215"/>
      <c r="C1035" s="25"/>
      <c r="D1035" s="25"/>
      <c r="E1035" s="53"/>
      <c r="F1035" s="39" t="s">
        <v>183</v>
      </c>
      <c r="G1035" s="40">
        <f>SUM(G1031:G1034)</f>
        <v>6.4441825000000001</v>
      </c>
    </row>
    <row r="1036" spans="2:7" x14ac:dyDescent="0.25">
      <c r="B1036" s="358" t="s">
        <v>182</v>
      </c>
      <c r="C1036" s="359"/>
      <c r="D1036" s="216"/>
      <c r="E1036" s="26"/>
      <c r="F1036" s="36"/>
      <c r="G1036" s="37"/>
    </row>
    <row r="1037" spans="2:7" ht="22.5" x14ac:dyDescent="0.25">
      <c r="B1037" s="50">
        <v>89714</v>
      </c>
      <c r="C1037" s="123" t="s">
        <v>581</v>
      </c>
      <c r="D1037" s="216" t="s">
        <v>11</v>
      </c>
      <c r="E1037" s="58">
        <v>0.18459999999999999</v>
      </c>
      <c r="F1037" s="42">
        <v>40.64</v>
      </c>
      <c r="G1037" s="37">
        <f t="shared" ref="G1037:G1044" si="10">E1037*F1037</f>
        <v>7.5021439999999995</v>
      </c>
    </row>
    <row r="1038" spans="2:7" ht="33.75" x14ac:dyDescent="0.25">
      <c r="B1038" s="50">
        <v>89746</v>
      </c>
      <c r="C1038" s="123" t="s">
        <v>582</v>
      </c>
      <c r="D1038" s="216" t="s">
        <v>180</v>
      </c>
      <c r="E1038" s="58">
        <v>6.5299999999999997E-2</v>
      </c>
      <c r="F1038" s="42">
        <v>16.96</v>
      </c>
      <c r="G1038" s="37">
        <f t="shared" si="10"/>
        <v>1.107488</v>
      </c>
    </row>
    <row r="1039" spans="2:7" ht="33.75" x14ac:dyDescent="0.25">
      <c r="B1039" s="50">
        <v>89748</v>
      </c>
      <c r="C1039" s="123" t="s">
        <v>583</v>
      </c>
      <c r="D1039" s="216" t="s">
        <v>180</v>
      </c>
      <c r="E1039" s="58">
        <v>0.2122</v>
      </c>
      <c r="F1039" s="42">
        <v>23.48</v>
      </c>
      <c r="G1039" s="37">
        <f t="shared" si="10"/>
        <v>4.982456</v>
      </c>
    </row>
    <row r="1040" spans="2:7" ht="33.75" x14ac:dyDescent="0.25">
      <c r="B1040" s="50">
        <v>89778</v>
      </c>
      <c r="C1040" s="123" t="s">
        <v>584</v>
      </c>
      <c r="D1040" s="216" t="s">
        <v>180</v>
      </c>
      <c r="E1040" s="58">
        <v>9.8199999999999996E-2</v>
      </c>
      <c r="F1040" s="42">
        <v>12.81</v>
      </c>
      <c r="G1040" s="37">
        <f t="shared" si="10"/>
        <v>1.2579419999999999</v>
      </c>
    </row>
    <row r="1041" spans="2:7" ht="33.75" x14ac:dyDescent="0.25">
      <c r="B1041" s="50">
        <v>89796</v>
      </c>
      <c r="C1041" s="123" t="s">
        <v>585</v>
      </c>
      <c r="D1041" s="216" t="s">
        <v>180</v>
      </c>
      <c r="E1041" s="58">
        <v>4.7800000000000002E-2</v>
      </c>
      <c r="F1041" s="42">
        <v>26.78</v>
      </c>
      <c r="G1041" s="37">
        <f t="shared" si="10"/>
        <v>1.2800840000000002</v>
      </c>
    </row>
    <row r="1042" spans="2:7" ht="33.75" x14ac:dyDescent="0.25">
      <c r="B1042" s="50">
        <v>89797</v>
      </c>
      <c r="C1042" s="123" t="s">
        <v>586</v>
      </c>
      <c r="D1042" s="216" t="s">
        <v>180</v>
      </c>
      <c r="E1042" s="58">
        <v>0.1086</v>
      </c>
      <c r="F1042" s="42">
        <v>30.32</v>
      </c>
      <c r="G1042" s="37">
        <f t="shared" si="10"/>
        <v>3.2927520000000001</v>
      </c>
    </row>
    <row r="1043" spans="2:7" ht="22.5" x14ac:dyDescent="0.25">
      <c r="B1043" s="50">
        <v>89800</v>
      </c>
      <c r="C1043" s="123" t="s">
        <v>587</v>
      </c>
      <c r="D1043" s="216" t="s">
        <v>11</v>
      </c>
      <c r="E1043" s="54">
        <v>0.56100000000000005</v>
      </c>
      <c r="F1043" s="42">
        <v>15.35</v>
      </c>
      <c r="G1043" s="37">
        <f t="shared" si="10"/>
        <v>8.6113499999999998</v>
      </c>
    </row>
    <row r="1044" spans="2:7" ht="33.75" x14ac:dyDescent="0.25">
      <c r="B1044" s="50">
        <v>89810</v>
      </c>
      <c r="C1044" s="117" t="s">
        <v>588</v>
      </c>
      <c r="D1044" s="216" t="s">
        <v>180</v>
      </c>
      <c r="E1044" s="58">
        <v>8.5000000000000006E-3</v>
      </c>
      <c r="F1044" s="42">
        <v>11.95</v>
      </c>
      <c r="G1044" s="37">
        <f t="shared" si="10"/>
        <v>0.101575</v>
      </c>
    </row>
    <row r="1045" spans="2:7" ht="33.75" x14ac:dyDescent="0.25">
      <c r="B1045" s="50">
        <v>89821</v>
      </c>
      <c r="C1045" s="123" t="s">
        <v>589</v>
      </c>
      <c r="D1045" s="216" t="s">
        <v>180</v>
      </c>
      <c r="E1045" s="58">
        <v>0.2392</v>
      </c>
      <c r="F1045" s="42">
        <v>9.34</v>
      </c>
      <c r="G1045" s="37">
        <f t="shared" ref="G1045:G1051" si="11">E1045*F1045</f>
        <v>2.2341280000000001</v>
      </c>
    </row>
    <row r="1046" spans="2:7" ht="33.75" x14ac:dyDescent="0.25">
      <c r="B1046" s="50">
        <v>89833</v>
      </c>
      <c r="C1046" s="123" t="s">
        <v>590</v>
      </c>
      <c r="D1046" s="216" t="s">
        <v>180</v>
      </c>
      <c r="E1046" s="58">
        <v>5.9799999999999999E-2</v>
      </c>
      <c r="F1046" s="42">
        <v>20.22</v>
      </c>
      <c r="G1046" s="37">
        <f t="shared" si="11"/>
        <v>1.2091559999999999</v>
      </c>
    </row>
    <row r="1047" spans="2:7" ht="33.75" x14ac:dyDescent="0.25">
      <c r="B1047" s="50">
        <v>89834</v>
      </c>
      <c r="C1047" s="117" t="s">
        <v>591</v>
      </c>
      <c r="D1047" s="216" t="s">
        <v>180</v>
      </c>
      <c r="E1047" s="58">
        <v>3.1099999999999999E-2</v>
      </c>
      <c r="F1047" s="42">
        <v>23.76</v>
      </c>
      <c r="G1047" s="37">
        <f>E1047*F1047</f>
        <v>0.73893600000000004</v>
      </c>
    </row>
    <row r="1048" spans="2:7" ht="22.5" x14ac:dyDescent="0.25">
      <c r="B1048" s="50">
        <v>89848</v>
      </c>
      <c r="C1048" s="123" t="s">
        <v>592</v>
      </c>
      <c r="D1048" s="216" t="s">
        <v>11</v>
      </c>
      <c r="E1048" s="58">
        <v>0.25440000000000002</v>
      </c>
      <c r="F1048" s="42">
        <v>19.89</v>
      </c>
      <c r="G1048" s="37">
        <f t="shared" si="11"/>
        <v>5.0600160000000001</v>
      </c>
    </row>
    <row r="1049" spans="2:7" ht="33.75" x14ac:dyDescent="0.25">
      <c r="B1049" s="50">
        <v>89851</v>
      </c>
      <c r="C1049" s="123" t="s">
        <v>593</v>
      </c>
      <c r="D1049" s="216" t="s">
        <v>180</v>
      </c>
      <c r="E1049" s="58">
        <v>1.78E-2</v>
      </c>
      <c r="F1049" s="42">
        <v>16.579999999999998</v>
      </c>
      <c r="G1049" s="37">
        <f t="shared" si="11"/>
        <v>0.29512399999999994</v>
      </c>
    </row>
    <row r="1050" spans="2:7" ht="33.75" x14ac:dyDescent="0.25">
      <c r="B1050" s="50">
        <v>89856</v>
      </c>
      <c r="C1050" s="123" t="s">
        <v>594</v>
      </c>
      <c r="D1050" s="216" t="s">
        <v>180</v>
      </c>
      <c r="E1050" s="58">
        <v>0.12670000000000001</v>
      </c>
      <c r="F1050" s="42">
        <v>12.42</v>
      </c>
      <c r="G1050" s="37">
        <f t="shared" si="11"/>
        <v>1.5736140000000001</v>
      </c>
    </row>
    <row r="1051" spans="2:7" ht="33.75" x14ac:dyDescent="0.25">
      <c r="B1051" s="50">
        <v>89861</v>
      </c>
      <c r="C1051" s="117" t="s">
        <v>595</v>
      </c>
      <c r="D1051" s="216" t="s">
        <v>180</v>
      </c>
      <c r="E1051" s="58">
        <v>8.0000000000000004E-4</v>
      </c>
      <c r="F1051" s="42">
        <v>29.93</v>
      </c>
      <c r="G1051" s="37">
        <f t="shared" si="11"/>
        <v>2.3944E-2</v>
      </c>
    </row>
    <row r="1052" spans="2:7" x14ac:dyDescent="0.25">
      <c r="B1052" s="50"/>
      <c r="C1052" s="25"/>
      <c r="D1052" s="25"/>
      <c r="E1052" s="54"/>
      <c r="F1052" s="27" t="s">
        <v>179</v>
      </c>
      <c r="G1052" s="40">
        <f>SUM(G1037:G1051)</f>
        <v>39.270709000000004</v>
      </c>
    </row>
    <row r="1053" spans="2:7" ht="15.75" thickBot="1" x14ac:dyDescent="0.3">
      <c r="B1053" s="215"/>
      <c r="C1053" s="17"/>
      <c r="D1053" s="25"/>
      <c r="E1053" s="26"/>
      <c r="F1053" s="16"/>
      <c r="G1053" s="43"/>
    </row>
    <row r="1054" spans="2:7" ht="15.75" thickBot="1" x14ac:dyDescent="0.3">
      <c r="B1054" s="44" t="s">
        <v>240</v>
      </c>
      <c r="C1054" s="45" t="s">
        <v>331</v>
      </c>
      <c r="D1054" s="46"/>
      <c r="E1054" s="47"/>
      <c r="F1054" s="16" t="s">
        <v>178</v>
      </c>
      <c r="G1054" s="113">
        <f>G1035+G1052</f>
        <v>45.714891500000007</v>
      </c>
    </row>
    <row r="1055" spans="2:7" x14ac:dyDescent="0.25">
      <c r="B1055" s="30" t="s">
        <v>166</v>
      </c>
      <c r="C1055" s="51" t="s">
        <v>279</v>
      </c>
      <c r="D1055" s="32"/>
      <c r="E1055" s="69" t="s">
        <v>332</v>
      </c>
      <c r="F1055" s="33" t="s">
        <v>192</v>
      </c>
      <c r="G1055" s="34" t="s">
        <v>214</v>
      </c>
    </row>
    <row r="1056" spans="2:7" x14ac:dyDescent="0.25">
      <c r="B1056" s="35" t="s">
        <v>0</v>
      </c>
      <c r="C1056" s="20" t="s">
        <v>1</v>
      </c>
      <c r="D1056" s="20" t="s">
        <v>190</v>
      </c>
      <c r="E1056" s="59" t="s">
        <v>189</v>
      </c>
      <c r="F1056" s="18" t="s">
        <v>188</v>
      </c>
      <c r="G1056" s="64" t="s">
        <v>187</v>
      </c>
    </row>
    <row r="1057" spans="2:7" x14ac:dyDescent="0.25">
      <c r="B1057" s="358" t="s">
        <v>186</v>
      </c>
      <c r="C1057" s="359"/>
      <c r="D1057" s="216"/>
      <c r="E1057" s="26"/>
      <c r="F1057" s="36"/>
      <c r="G1057" s="37"/>
    </row>
    <row r="1058" spans="2:7" ht="22.5" x14ac:dyDescent="0.25">
      <c r="B1058" s="50">
        <v>90437</v>
      </c>
      <c r="C1058" s="122" t="s">
        <v>565</v>
      </c>
      <c r="D1058" s="121" t="s">
        <v>180</v>
      </c>
      <c r="E1058" s="58">
        <v>3.3300000000000003E-2</v>
      </c>
      <c r="F1058" s="27">
        <v>29.15</v>
      </c>
      <c r="G1058" s="37">
        <f>E1058*F1058</f>
        <v>0.97069500000000009</v>
      </c>
    </row>
    <row r="1059" spans="2:7" ht="22.5" x14ac:dyDescent="0.25">
      <c r="B1059" s="50">
        <v>90454</v>
      </c>
      <c r="C1059" s="122" t="s">
        <v>566</v>
      </c>
      <c r="D1059" s="121" t="s">
        <v>180</v>
      </c>
      <c r="E1059" s="58">
        <v>9.1700000000000004E-2</v>
      </c>
      <c r="F1059" s="27">
        <v>3.48</v>
      </c>
      <c r="G1059" s="37">
        <f>E1059*F1059</f>
        <v>0.31911600000000001</v>
      </c>
    </row>
    <row r="1060" spans="2:7" ht="22.5" x14ac:dyDescent="0.25">
      <c r="B1060" s="50">
        <v>91191</v>
      </c>
      <c r="C1060" s="122" t="s">
        <v>569</v>
      </c>
      <c r="D1060" s="121" t="s">
        <v>180</v>
      </c>
      <c r="E1060" s="58">
        <v>3.3300000000000003E-2</v>
      </c>
      <c r="F1060" s="27">
        <v>4.38</v>
      </c>
      <c r="G1060" s="37">
        <f>E1060*F1060</f>
        <v>0.14585400000000001</v>
      </c>
    </row>
    <row r="1061" spans="2:7" x14ac:dyDescent="0.25">
      <c r="B1061" s="215"/>
      <c r="C1061" s="25"/>
      <c r="D1061" s="25"/>
      <c r="E1061" s="53"/>
      <c r="F1061" s="39" t="s">
        <v>183</v>
      </c>
      <c r="G1061" s="40">
        <f>SUM(G1058:G1060)</f>
        <v>1.435665</v>
      </c>
    </row>
    <row r="1062" spans="2:7" x14ac:dyDescent="0.25">
      <c r="B1062" s="358" t="s">
        <v>182</v>
      </c>
      <c r="C1062" s="359"/>
      <c r="D1062" s="216"/>
      <c r="E1062" s="26"/>
      <c r="F1062" s="36"/>
      <c r="G1062" s="37"/>
    </row>
    <row r="1063" spans="2:7" ht="22.5" x14ac:dyDescent="0.25">
      <c r="B1063" s="50">
        <v>89511</v>
      </c>
      <c r="C1063" s="123" t="s">
        <v>596</v>
      </c>
      <c r="D1063" s="216" t="s">
        <v>11</v>
      </c>
      <c r="E1063" s="54">
        <v>0.14000000000000001</v>
      </c>
      <c r="F1063" s="42">
        <v>24.8</v>
      </c>
      <c r="G1063" s="37">
        <f t="shared" ref="G1063:G1074" si="12">E1063*F1063</f>
        <v>3.4720000000000004</v>
      </c>
    </row>
    <row r="1064" spans="2:7" ht="22.5" x14ac:dyDescent="0.25">
      <c r="B1064" s="50">
        <v>89522</v>
      </c>
      <c r="C1064" s="123" t="s">
        <v>597</v>
      </c>
      <c r="D1064" s="216" t="s">
        <v>180</v>
      </c>
      <c r="E1064" s="54">
        <v>2.2200000000000001E-2</v>
      </c>
      <c r="F1064" s="42">
        <v>18.559999999999999</v>
      </c>
      <c r="G1064" s="37">
        <f t="shared" si="12"/>
        <v>0.41203200000000001</v>
      </c>
    </row>
    <row r="1065" spans="2:7" ht="22.5" x14ac:dyDescent="0.25">
      <c r="B1065" s="50">
        <v>89524</v>
      </c>
      <c r="C1065" s="123" t="s">
        <v>598</v>
      </c>
      <c r="D1065" s="216" t="s">
        <v>180</v>
      </c>
      <c r="E1065" s="54">
        <v>8.9300000000000004E-2</v>
      </c>
      <c r="F1065" s="42">
        <v>18.12</v>
      </c>
      <c r="G1065" s="37">
        <f t="shared" si="12"/>
        <v>1.6181160000000001</v>
      </c>
    </row>
    <row r="1066" spans="2:7" ht="22.5" x14ac:dyDescent="0.25">
      <c r="B1066" s="50">
        <v>89547</v>
      </c>
      <c r="C1066" s="123" t="s">
        <v>599</v>
      </c>
      <c r="D1066" s="216" t="s">
        <v>180</v>
      </c>
      <c r="E1066" s="54">
        <v>7.4499999999999997E-2</v>
      </c>
      <c r="F1066" s="42">
        <v>12.25</v>
      </c>
      <c r="G1066" s="37">
        <f t="shared" si="12"/>
        <v>0.91262499999999991</v>
      </c>
    </row>
    <row r="1067" spans="2:7" ht="22.5" x14ac:dyDescent="0.25">
      <c r="B1067" s="50">
        <v>89557</v>
      </c>
      <c r="C1067" s="123" t="s">
        <v>600</v>
      </c>
      <c r="D1067" s="216" t="s">
        <v>180</v>
      </c>
      <c r="E1067" s="54">
        <v>7.5200000000000003E-2</v>
      </c>
      <c r="F1067" s="42">
        <v>17.559999999999999</v>
      </c>
      <c r="G1067" s="37">
        <f t="shared" si="12"/>
        <v>1.3205119999999999</v>
      </c>
    </row>
    <row r="1068" spans="2:7" ht="22.5" x14ac:dyDescent="0.25">
      <c r="B1068" s="50">
        <v>89576</v>
      </c>
      <c r="C1068" s="123" t="s">
        <v>601</v>
      </c>
      <c r="D1068" s="216" t="s">
        <v>11</v>
      </c>
      <c r="E1068" s="54">
        <v>0.86</v>
      </c>
      <c r="F1068" s="42">
        <v>12.13</v>
      </c>
      <c r="G1068" s="37">
        <f t="shared" si="12"/>
        <v>10.431800000000001</v>
      </c>
    </row>
    <row r="1069" spans="2:7" ht="33.75" x14ac:dyDescent="0.25">
      <c r="B1069" s="50">
        <v>89581</v>
      </c>
      <c r="C1069" s="123" t="s">
        <v>602</v>
      </c>
      <c r="D1069" s="216" t="s">
        <v>180</v>
      </c>
      <c r="E1069" s="54">
        <v>9.6100000000000005E-2</v>
      </c>
      <c r="F1069" s="42">
        <v>17.03</v>
      </c>
      <c r="G1069" s="37">
        <f t="shared" si="12"/>
        <v>1.6365830000000001</v>
      </c>
    </row>
    <row r="1070" spans="2:7" ht="33.75" x14ac:dyDescent="0.25">
      <c r="B1070" s="50">
        <v>89582</v>
      </c>
      <c r="C1070" s="117" t="s">
        <v>603</v>
      </c>
      <c r="D1070" s="216" t="s">
        <v>180</v>
      </c>
      <c r="E1070" s="54">
        <v>1.89E-2</v>
      </c>
      <c r="F1070" s="42">
        <v>16.59</v>
      </c>
      <c r="G1070" s="37">
        <f t="shared" si="12"/>
        <v>0.31355100000000002</v>
      </c>
    </row>
    <row r="1071" spans="2:7" ht="22.5" x14ac:dyDescent="0.25">
      <c r="B1071" s="50">
        <v>89599</v>
      </c>
      <c r="C1071" s="123" t="s">
        <v>604</v>
      </c>
      <c r="D1071" s="216" t="s">
        <v>180</v>
      </c>
      <c r="E1071" s="54">
        <v>0.26090000000000002</v>
      </c>
      <c r="F1071" s="42">
        <v>11.09</v>
      </c>
      <c r="G1071" s="37">
        <f t="shared" si="12"/>
        <v>2.8933810000000002</v>
      </c>
    </row>
    <row r="1072" spans="2:7" ht="33.75" x14ac:dyDescent="0.25">
      <c r="B1072" s="50">
        <v>89685</v>
      </c>
      <c r="C1072" s="123" t="s">
        <v>605</v>
      </c>
      <c r="D1072" s="216" t="s">
        <v>180</v>
      </c>
      <c r="E1072" s="54">
        <v>2.8999999999999998E-3</v>
      </c>
      <c r="F1072" s="42">
        <v>31.54</v>
      </c>
      <c r="G1072" s="37">
        <f t="shared" si="12"/>
        <v>9.1465999999999992E-2</v>
      </c>
    </row>
    <row r="1073" spans="2:7" ht="22.5" x14ac:dyDescent="0.25">
      <c r="B1073" s="50">
        <v>89687</v>
      </c>
      <c r="C1073" s="117" t="s">
        <v>606</v>
      </c>
      <c r="D1073" s="216" t="s">
        <v>180</v>
      </c>
      <c r="E1073" s="54">
        <v>4.07E-2</v>
      </c>
      <c r="F1073" s="42">
        <v>26.12</v>
      </c>
      <c r="G1073" s="37">
        <f t="shared" si="12"/>
        <v>1.0630840000000001</v>
      </c>
    </row>
    <row r="1074" spans="2:7" ht="33.75" x14ac:dyDescent="0.25">
      <c r="B1074" s="50">
        <v>89692</v>
      </c>
      <c r="C1074" s="123" t="s">
        <v>607</v>
      </c>
      <c r="D1074" s="216" t="s">
        <v>180</v>
      </c>
      <c r="E1074" s="54">
        <v>1.5E-3</v>
      </c>
      <c r="F1074" s="42">
        <v>46.76</v>
      </c>
      <c r="G1074" s="37">
        <f t="shared" si="12"/>
        <v>7.0139999999999994E-2</v>
      </c>
    </row>
    <row r="1075" spans="2:7" x14ac:dyDescent="0.25">
      <c r="B1075" s="50"/>
      <c r="C1075" s="25"/>
      <c r="D1075" s="25"/>
      <c r="E1075" s="54"/>
      <c r="F1075" s="27" t="s">
        <v>179</v>
      </c>
      <c r="G1075" s="40">
        <f>SUM(G1063:G1074)</f>
        <v>24.235290000000003</v>
      </c>
    </row>
    <row r="1076" spans="2:7" ht="15.75" thickBot="1" x14ac:dyDescent="0.3">
      <c r="B1076" s="215"/>
      <c r="C1076" s="17"/>
      <c r="D1076" s="25"/>
      <c r="E1076" s="26"/>
      <c r="F1076" s="16"/>
      <c r="G1076" s="43"/>
    </row>
    <row r="1077" spans="2:7" ht="15.75" thickBot="1" x14ac:dyDescent="0.3">
      <c r="B1077" s="44" t="s">
        <v>240</v>
      </c>
      <c r="C1077" s="45" t="s">
        <v>332</v>
      </c>
      <c r="D1077" s="46"/>
      <c r="E1077" s="47"/>
      <c r="F1077" s="16" t="s">
        <v>178</v>
      </c>
      <c r="G1077" s="113">
        <f>G1061+G1075</f>
        <v>25.670955000000003</v>
      </c>
    </row>
    <row r="1078" spans="2:7" x14ac:dyDescent="0.25">
      <c r="B1078" s="30" t="s">
        <v>282</v>
      </c>
      <c r="C1078" s="51" t="s">
        <v>280</v>
      </c>
      <c r="D1078" s="32"/>
      <c r="E1078" s="69" t="s">
        <v>333</v>
      </c>
      <c r="F1078" s="33" t="s">
        <v>192</v>
      </c>
      <c r="G1078" s="34" t="s">
        <v>214</v>
      </c>
    </row>
    <row r="1079" spans="2:7" x14ac:dyDescent="0.25">
      <c r="B1079" s="35" t="s">
        <v>0</v>
      </c>
      <c r="C1079" s="20" t="s">
        <v>1</v>
      </c>
      <c r="D1079" s="20" t="s">
        <v>190</v>
      </c>
      <c r="E1079" s="59" t="s">
        <v>189</v>
      </c>
      <c r="F1079" s="18" t="s">
        <v>188</v>
      </c>
      <c r="G1079" s="64" t="s">
        <v>187</v>
      </c>
    </row>
    <row r="1080" spans="2:7" x14ac:dyDescent="0.25">
      <c r="B1080" s="358" t="s">
        <v>186</v>
      </c>
      <c r="C1080" s="359"/>
      <c r="D1080" s="216"/>
      <c r="E1080" s="26"/>
      <c r="F1080" s="36"/>
      <c r="G1080" s="37"/>
    </row>
    <row r="1081" spans="2:7" x14ac:dyDescent="0.25">
      <c r="B1081" s="50">
        <v>90438</v>
      </c>
      <c r="C1081" s="122" t="s">
        <v>577</v>
      </c>
      <c r="D1081" s="121" t="s">
        <v>180</v>
      </c>
      <c r="E1081" s="58">
        <v>5.6599999999999998E-2</v>
      </c>
      <c r="F1081" s="27">
        <v>41.79</v>
      </c>
      <c r="G1081" s="37">
        <f>E1081*F1081</f>
        <v>2.3653139999999997</v>
      </c>
    </row>
    <row r="1082" spans="2:7" ht="22.5" x14ac:dyDescent="0.25">
      <c r="B1082" s="50">
        <v>90455</v>
      </c>
      <c r="C1082" s="122" t="s">
        <v>578</v>
      </c>
      <c r="D1082" s="121" t="s">
        <v>180</v>
      </c>
      <c r="E1082" s="58">
        <v>0.21920000000000001</v>
      </c>
      <c r="F1082" s="27">
        <v>4.7300000000000004</v>
      </c>
      <c r="G1082" s="37">
        <f>E1082*F1082</f>
        <v>1.0368160000000002</v>
      </c>
    </row>
    <row r="1083" spans="2:7" ht="33.75" x14ac:dyDescent="0.25">
      <c r="B1083" s="50">
        <v>91187</v>
      </c>
      <c r="C1083" s="122" t="s">
        <v>579</v>
      </c>
      <c r="D1083" s="121" t="s">
        <v>11</v>
      </c>
      <c r="E1083" s="58">
        <v>1.78E-2</v>
      </c>
      <c r="F1083" s="27">
        <v>5.52</v>
      </c>
      <c r="G1083" s="37">
        <f>E1083*F1083</f>
        <v>9.8255999999999996E-2</v>
      </c>
    </row>
    <row r="1084" spans="2:7" ht="22.5" x14ac:dyDescent="0.25">
      <c r="B1084" s="50">
        <v>91192</v>
      </c>
      <c r="C1084" s="122" t="s">
        <v>580</v>
      </c>
      <c r="D1084" s="121" t="s">
        <v>180</v>
      </c>
      <c r="E1084" s="58">
        <v>5.6599999999999998E-2</v>
      </c>
      <c r="F1084" s="27">
        <v>4.87</v>
      </c>
      <c r="G1084" s="37">
        <f>E1084*F1084</f>
        <v>0.275642</v>
      </c>
    </row>
    <row r="1085" spans="2:7" x14ac:dyDescent="0.25">
      <c r="B1085" s="215"/>
      <c r="C1085" s="25"/>
      <c r="D1085" s="25"/>
      <c r="E1085" s="53"/>
      <c r="F1085" s="39" t="s">
        <v>183</v>
      </c>
      <c r="G1085" s="40">
        <f>SUM(G1081:G1084)</f>
        <v>3.7760279999999997</v>
      </c>
    </row>
    <row r="1086" spans="2:7" x14ac:dyDescent="0.25">
      <c r="B1086" s="358" t="s">
        <v>182</v>
      </c>
      <c r="C1086" s="359"/>
      <c r="D1086" s="216"/>
      <c r="E1086" s="26"/>
      <c r="F1086" s="36"/>
      <c r="G1086" s="37"/>
    </row>
    <row r="1087" spans="2:7" ht="22.5" x14ac:dyDescent="0.25">
      <c r="B1087" s="50">
        <v>89512</v>
      </c>
      <c r="C1087" s="123" t="s">
        <v>608</v>
      </c>
      <c r="D1087" s="216" t="s">
        <v>11</v>
      </c>
      <c r="E1087" s="58">
        <v>0.36840000000000001</v>
      </c>
      <c r="F1087" s="42">
        <v>37.58</v>
      </c>
      <c r="G1087" s="37">
        <f t="shared" ref="G1087:G1098" si="13">E1087*F1087</f>
        <v>13.844472</v>
      </c>
    </row>
    <row r="1088" spans="2:7" ht="22.5" x14ac:dyDescent="0.25">
      <c r="B1088" s="50">
        <v>89529</v>
      </c>
      <c r="C1088" s="123" t="s">
        <v>609</v>
      </c>
      <c r="D1088" s="216" t="s">
        <v>180</v>
      </c>
      <c r="E1088" s="58">
        <v>1.9599999999999999E-2</v>
      </c>
      <c r="F1088" s="42">
        <v>28.77</v>
      </c>
      <c r="G1088" s="37">
        <f t="shared" si="13"/>
        <v>0.56389199999999995</v>
      </c>
    </row>
    <row r="1089" spans="1:8" ht="22.5" x14ac:dyDescent="0.25">
      <c r="B1089" s="50">
        <v>89554</v>
      </c>
      <c r="C1089" s="123" t="s">
        <v>610</v>
      </c>
      <c r="D1089" s="216" t="s">
        <v>180</v>
      </c>
      <c r="E1089" s="58">
        <v>3.4799999999999998E-2</v>
      </c>
      <c r="F1089" s="42">
        <v>15.22</v>
      </c>
      <c r="G1089" s="37">
        <f t="shared" si="13"/>
        <v>0.52965600000000002</v>
      </c>
    </row>
    <row r="1090" spans="1:8" ht="22.5" x14ac:dyDescent="0.25">
      <c r="B1090" s="50">
        <v>89559</v>
      </c>
      <c r="C1090" s="123" t="s">
        <v>611</v>
      </c>
      <c r="D1090" s="216" t="s">
        <v>180</v>
      </c>
      <c r="E1090" s="58">
        <v>4.3E-3</v>
      </c>
      <c r="F1090" s="42">
        <v>37.380000000000003</v>
      </c>
      <c r="G1090" s="37">
        <f t="shared" si="13"/>
        <v>0.16073400000000002</v>
      </c>
    </row>
    <row r="1091" spans="1:8" ht="22.5" x14ac:dyDescent="0.25">
      <c r="B1091" s="50">
        <v>89578</v>
      </c>
      <c r="C1091" s="123" t="s">
        <v>612</v>
      </c>
      <c r="D1091" s="216" t="s">
        <v>11</v>
      </c>
      <c r="E1091" s="58">
        <v>0.63160000000000005</v>
      </c>
      <c r="F1091" s="42">
        <v>20.39</v>
      </c>
      <c r="G1091" s="37">
        <f t="shared" si="13"/>
        <v>12.878324000000001</v>
      </c>
    </row>
    <row r="1092" spans="1:8" ht="33.75" x14ac:dyDescent="0.25">
      <c r="B1092" s="50">
        <v>89584</v>
      </c>
      <c r="C1092" s="123" t="s">
        <v>613</v>
      </c>
      <c r="D1092" s="216" t="s">
        <v>180</v>
      </c>
      <c r="E1092" s="58">
        <v>8.3099999999999993E-2</v>
      </c>
      <c r="F1092" s="42">
        <v>27.22</v>
      </c>
      <c r="G1092" s="37">
        <f t="shared" si="13"/>
        <v>2.2619819999999997</v>
      </c>
    </row>
    <row r="1093" spans="1:8" ht="33.75" x14ac:dyDescent="0.25">
      <c r="B1093" s="50">
        <v>89585</v>
      </c>
      <c r="C1093" s="123" t="s">
        <v>614</v>
      </c>
      <c r="D1093" s="216" t="s">
        <v>180</v>
      </c>
      <c r="E1093" s="58">
        <v>4.3E-3</v>
      </c>
      <c r="F1093" s="42">
        <v>23.12</v>
      </c>
      <c r="G1093" s="37">
        <f t="shared" si="13"/>
        <v>9.9416000000000004E-2</v>
      </c>
    </row>
    <row r="1094" spans="1:8" ht="33.75" x14ac:dyDescent="0.25">
      <c r="B1094" s="50">
        <v>89669</v>
      </c>
      <c r="C1094" s="117" t="s">
        <v>615</v>
      </c>
      <c r="D1094" s="216" t="s">
        <v>180</v>
      </c>
      <c r="E1094" s="58">
        <v>8.6300000000000002E-2</v>
      </c>
      <c r="F1094" s="42">
        <v>14.26</v>
      </c>
      <c r="G1094" s="37">
        <f t="shared" si="13"/>
        <v>1.2306379999999999</v>
      </c>
    </row>
    <row r="1095" spans="1:8" ht="33.75" x14ac:dyDescent="0.25">
      <c r="B1095" s="50">
        <v>89673</v>
      </c>
      <c r="C1095" s="123" t="s">
        <v>616</v>
      </c>
      <c r="D1095" s="216" t="s">
        <v>180</v>
      </c>
      <c r="E1095" s="58">
        <v>7.4000000000000003E-3</v>
      </c>
      <c r="F1095" s="42">
        <v>16.600000000000001</v>
      </c>
      <c r="G1095" s="37">
        <f t="shared" si="13"/>
        <v>0.12284000000000002</v>
      </c>
    </row>
    <row r="1096" spans="1:8" ht="33.75" x14ac:dyDescent="0.25">
      <c r="B1096" s="50">
        <v>89675</v>
      </c>
      <c r="C1096" s="123" t="s">
        <v>617</v>
      </c>
      <c r="D1096" s="216" t="s">
        <v>180</v>
      </c>
      <c r="E1096" s="58">
        <v>1.84E-2</v>
      </c>
      <c r="F1096" s="42">
        <v>36.42</v>
      </c>
      <c r="G1096" s="37">
        <f t="shared" si="13"/>
        <v>0.67012800000000006</v>
      </c>
    </row>
    <row r="1097" spans="1:8" ht="33.75" x14ac:dyDescent="0.25">
      <c r="B1097" s="50">
        <v>89681</v>
      </c>
      <c r="C1097" s="117" t="s">
        <v>618</v>
      </c>
      <c r="D1097" s="216" t="s">
        <v>180</v>
      </c>
      <c r="E1097" s="58">
        <v>3.6700000000000003E-2</v>
      </c>
      <c r="F1097" s="42">
        <v>45.73</v>
      </c>
      <c r="G1097" s="37">
        <f t="shared" si="13"/>
        <v>1.678291</v>
      </c>
    </row>
    <row r="1098" spans="1:8" ht="33.75" x14ac:dyDescent="0.25">
      <c r="B1098" s="50">
        <v>89690</v>
      </c>
      <c r="C1098" s="123" t="s">
        <v>619</v>
      </c>
      <c r="D1098" s="216" t="s">
        <v>180</v>
      </c>
      <c r="E1098" s="58">
        <v>2.0999999999999999E-3</v>
      </c>
      <c r="F1098" s="42">
        <v>48.35</v>
      </c>
      <c r="G1098" s="37">
        <f t="shared" si="13"/>
        <v>0.101535</v>
      </c>
    </row>
    <row r="1099" spans="1:8" ht="33.75" x14ac:dyDescent="0.25">
      <c r="B1099" s="50">
        <v>89699</v>
      </c>
      <c r="C1099" s="117" t="s">
        <v>620</v>
      </c>
      <c r="D1099" s="216" t="s">
        <v>180</v>
      </c>
      <c r="E1099" s="58">
        <v>4.3E-3</v>
      </c>
      <c r="F1099" s="42">
        <v>108.69</v>
      </c>
      <c r="G1099" s="37">
        <f>E1099*F1099</f>
        <v>0.46736699999999998</v>
      </c>
    </row>
    <row r="1100" spans="1:8" x14ac:dyDescent="0.25">
      <c r="B1100" s="50"/>
      <c r="C1100" s="25"/>
      <c r="D1100" s="25"/>
      <c r="E1100" s="58"/>
      <c r="F1100" s="27" t="s">
        <v>179</v>
      </c>
      <c r="G1100" s="40">
        <f>SUM(G1087:G1099)</f>
        <v>34.609275000000004</v>
      </c>
    </row>
    <row r="1101" spans="1:8" ht="15.75" thickBot="1" x14ac:dyDescent="0.3">
      <c r="B1101" s="215"/>
      <c r="C1101" s="17"/>
      <c r="D1101" s="25"/>
      <c r="E1101" s="26"/>
      <c r="F1101" s="16"/>
      <c r="G1101" s="43"/>
    </row>
    <row r="1102" spans="1:8" ht="15.75" thickBot="1" x14ac:dyDescent="0.3">
      <c r="B1102" s="44" t="s">
        <v>240</v>
      </c>
      <c r="C1102" s="45" t="s">
        <v>333</v>
      </c>
      <c r="D1102" s="46"/>
      <c r="E1102" s="47"/>
      <c r="F1102" s="16" t="s">
        <v>178</v>
      </c>
      <c r="G1102" s="113">
        <f>G1085+G1100</f>
        <v>38.385303</v>
      </c>
    </row>
    <row r="1103" spans="1:8" s="179" customFormat="1" ht="22.5" x14ac:dyDescent="0.25">
      <c r="A1103" s="161"/>
      <c r="B1103" s="30" t="s">
        <v>283</v>
      </c>
      <c r="C1103" s="51" t="s">
        <v>973</v>
      </c>
      <c r="D1103" s="32"/>
      <c r="E1103" s="69" t="s">
        <v>975</v>
      </c>
      <c r="F1103" s="33" t="s">
        <v>192</v>
      </c>
      <c r="G1103" s="34" t="s">
        <v>974</v>
      </c>
      <c r="H1103" s="180"/>
    </row>
    <row r="1104" spans="1:8" s="179" customFormat="1" x14ac:dyDescent="0.25">
      <c r="A1104" s="161"/>
      <c r="B1104" s="35" t="s">
        <v>0</v>
      </c>
      <c r="C1104" s="20" t="s">
        <v>1</v>
      </c>
      <c r="D1104" s="20" t="s">
        <v>190</v>
      </c>
      <c r="E1104" s="59" t="s">
        <v>189</v>
      </c>
      <c r="F1104" s="18" t="s">
        <v>188</v>
      </c>
      <c r="G1104" s="64" t="s">
        <v>187</v>
      </c>
      <c r="H1104" s="180"/>
    </row>
    <row r="1105" spans="1:10" s="179" customFormat="1" x14ac:dyDescent="0.25">
      <c r="A1105" s="161"/>
      <c r="B1105" s="358" t="s">
        <v>186</v>
      </c>
      <c r="C1105" s="359"/>
      <c r="D1105" s="216"/>
      <c r="E1105" s="26"/>
      <c r="F1105" s="36"/>
      <c r="G1105" s="37"/>
      <c r="H1105" s="180"/>
    </row>
    <row r="1106" spans="1:10" s="179" customFormat="1" ht="22.5" x14ac:dyDescent="0.25">
      <c r="A1106" s="161"/>
      <c r="B1106" s="50">
        <v>90443</v>
      </c>
      <c r="C1106" s="122" t="s">
        <v>516</v>
      </c>
      <c r="D1106" s="121" t="s">
        <v>11</v>
      </c>
      <c r="E1106" s="54">
        <v>2.14</v>
      </c>
      <c r="F1106" s="27">
        <v>10.9</v>
      </c>
      <c r="G1106" s="37">
        <f>E1106*F1106</f>
        <v>23.326000000000001</v>
      </c>
      <c r="H1106" s="180"/>
    </row>
    <row r="1107" spans="1:10" s="179" customFormat="1" ht="22.5" x14ac:dyDescent="0.25">
      <c r="A1107" s="161"/>
      <c r="B1107" s="50">
        <v>90466</v>
      </c>
      <c r="C1107" s="122" t="s">
        <v>518</v>
      </c>
      <c r="D1107" s="121" t="s">
        <v>11</v>
      </c>
      <c r="E1107" s="54">
        <v>2.14</v>
      </c>
      <c r="F1107" s="27">
        <v>10.62</v>
      </c>
      <c r="G1107" s="37">
        <f>E1107*F1107</f>
        <v>22.726800000000001</v>
      </c>
      <c r="H1107" s="180"/>
    </row>
    <row r="1108" spans="1:10" s="179" customFormat="1" x14ac:dyDescent="0.25">
      <c r="A1108" s="161"/>
      <c r="B1108" s="215"/>
      <c r="C1108" s="25"/>
      <c r="D1108" s="25"/>
      <c r="E1108" s="53"/>
      <c r="F1108" s="39" t="s">
        <v>183</v>
      </c>
      <c r="G1108" s="40">
        <f>SUM(G1106:G1107)</f>
        <v>46.052800000000005</v>
      </c>
      <c r="H1108" s="180"/>
    </row>
    <row r="1109" spans="1:10" s="179" customFormat="1" x14ac:dyDescent="0.25">
      <c r="A1109" s="161"/>
      <c r="B1109" s="358" t="s">
        <v>182</v>
      </c>
      <c r="C1109" s="359"/>
      <c r="D1109" s="216"/>
      <c r="E1109" s="26"/>
      <c r="F1109" s="36"/>
      <c r="G1109" s="37"/>
      <c r="H1109" s="180"/>
    </row>
    <row r="1110" spans="1:10" s="179" customFormat="1" ht="22.5" x14ac:dyDescent="0.25">
      <c r="A1110" s="161"/>
      <c r="B1110" s="50">
        <v>89356</v>
      </c>
      <c r="C1110" s="123" t="s">
        <v>521</v>
      </c>
      <c r="D1110" s="216" t="s">
        <v>11</v>
      </c>
      <c r="E1110" s="54">
        <v>2.14</v>
      </c>
      <c r="F1110" s="42">
        <v>17.420000000000002</v>
      </c>
      <c r="G1110" s="37">
        <f t="shared" ref="G1110:G1113" si="14">E1110*F1110</f>
        <v>37.278800000000004</v>
      </c>
      <c r="H1110" s="180"/>
    </row>
    <row r="1111" spans="1:10" s="179" customFormat="1" ht="22.5" x14ac:dyDescent="0.25">
      <c r="A1111" s="161"/>
      <c r="B1111" s="50">
        <v>89362</v>
      </c>
      <c r="C1111" s="123" t="s">
        <v>522</v>
      </c>
      <c r="D1111" s="216" t="s">
        <v>180</v>
      </c>
      <c r="E1111" s="54">
        <v>1.18</v>
      </c>
      <c r="F1111" s="42">
        <v>6.93</v>
      </c>
      <c r="G1111" s="37">
        <f t="shared" si="14"/>
        <v>8.1773999999999987</v>
      </c>
      <c r="H1111" s="180"/>
    </row>
    <row r="1112" spans="1:10" s="179" customFormat="1" ht="33.75" x14ac:dyDescent="0.25">
      <c r="A1112" s="161"/>
      <c r="B1112" s="50">
        <v>89366</v>
      </c>
      <c r="C1112" s="123" t="s">
        <v>523</v>
      </c>
      <c r="D1112" s="216" t="s">
        <v>180</v>
      </c>
      <c r="E1112" s="54">
        <v>1</v>
      </c>
      <c r="F1112" s="42">
        <v>10.74</v>
      </c>
      <c r="G1112" s="37">
        <f t="shared" si="14"/>
        <v>10.74</v>
      </c>
      <c r="H1112" s="180"/>
    </row>
    <row r="1113" spans="1:10" s="179" customFormat="1" ht="22.5" x14ac:dyDescent="0.25">
      <c r="A1113" s="161"/>
      <c r="B1113" s="50">
        <v>89395</v>
      </c>
      <c r="C1113" s="123" t="s">
        <v>526</v>
      </c>
      <c r="D1113" s="216" t="s">
        <v>180</v>
      </c>
      <c r="E1113" s="54">
        <v>0.89</v>
      </c>
      <c r="F1113" s="42">
        <v>9.52</v>
      </c>
      <c r="G1113" s="37">
        <f t="shared" si="14"/>
        <v>8.4727999999999994</v>
      </c>
      <c r="H1113" s="180"/>
    </row>
    <row r="1114" spans="1:10" s="179" customFormat="1" x14ac:dyDescent="0.25">
      <c r="A1114" s="161"/>
      <c r="B1114" s="50"/>
      <c r="C1114" s="25"/>
      <c r="D1114" s="25"/>
      <c r="E1114" s="58"/>
      <c r="F1114" s="27" t="s">
        <v>179</v>
      </c>
      <c r="G1114" s="40">
        <f>SUM(G1110:G1113)</f>
        <v>64.669000000000011</v>
      </c>
      <c r="H1114" s="180"/>
    </row>
    <row r="1115" spans="1:10" s="179" customFormat="1" ht="15.75" thickBot="1" x14ac:dyDescent="0.3">
      <c r="A1115" s="161"/>
      <c r="B1115" s="215"/>
      <c r="C1115" s="17"/>
      <c r="D1115" s="25"/>
      <c r="E1115" s="26"/>
      <c r="F1115" s="16"/>
      <c r="G1115" s="43"/>
      <c r="H1115" s="180"/>
    </row>
    <row r="1116" spans="1:10" s="179" customFormat="1" ht="15.75" thickBot="1" x14ac:dyDescent="0.3">
      <c r="A1116" s="161"/>
      <c r="B1116" s="44" t="s">
        <v>240</v>
      </c>
      <c r="C1116" s="45" t="s">
        <v>975</v>
      </c>
      <c r="D1116" s="46"/>
      <c r="E1116" s="47"/>
      <c r="F1116" s="16" t="s">
        <v>178</v>
      </c>
      <c r="G1116" s="113">
        <f>G1108+G1114</f>
        <v>110.72180000000002</v>
      </c>
      <c r="H1116" s="180"/>
    </row>
    <row r="1117" spans="1:10" s="179" customFormat="1" x14ac:dyDescent="0.25">
      <c r="A1117" s="161"/>
      <c r="B1117" s="30" t="s">
        <v>1256</v>
      </c>
      <c r="C1117" s="51" t="s">
        <v>1257</v>
      </c>
      <c r="D1117" s="32"/>
      <c r="E1117" s="69" t="s">
        <v>1258</v>
      </c>
      <c r="F1117" s="33" t="s">
        <v>192</v>
      </c>
      <c r="G1117" s="34" t="s">
        <v>191</v>
      </c>
      <c r="H1117" s="180"/>
      <c r="I1117" s="342"/>
      <c r="J1117" s="342"/>
    </row>
    <row r="1118" spans="1:10" s="179" customFormat="1" x14ac:dyDescent="0.25">
      <c r="A1118" s="161"/>
      <c r="B1118" s="35" t="s">
        <v>0</v>
      </c>
      <c r="C1118" s="20" t="s">
        <v>1</v>
      </c>
      <c r="D1118" s="20" t="s">
        <v>190</v>
      </c>
      <c r="E1118" s="59" t="s">
        <v>189</v>
      </c>
      <c r="F1118" s="18" t="s">
        <v>188</v>
      </c>
      <c r="G1118" s="64" t="s">
        <v>187</v>
      </c>
      <c r="H1118" s="180"/>
      <c r="I1118" s="342"/>
      <c r="J1118" s="342"/>
    </row>
    <row r="1119" spans="1:10" s="179" customFormat="1" x14ac:dyDescent="0.25">
      <c r="A1119" s="161"/>
      <c r="B1119" s="358" t="s">
        <v>186</v>
      </c>
      <c r="C1119" s="359"/>
      <c r="D1119" s="328"/>
      <c r="E1119" s="26"/>
      <c r="F1119" s="36"/>
      <c r="G1119" s="37"/>
      <c r="H1119" s="180"/>
      <c r="I1119" s="342"/>
      <c r="J1119" s="342"/>
    </row>
    <row r="1120" spans="1:10" s="179" customFormat="1" ht="22.5" x14ac:dyDescent="0.25">
      <c r="A1120" s="161"/>
      <c r="B1120" s="50">
        <v>88248</v>
      </c>
      <c r="C1120" s="17" t="s">
        <v>211</v>
      </c>
      <c r="D1120" s="328" t="s">
        <v>184</v>
      </c>
      <c r="E1120" s="54">
        <v>3</v>
      </c>
      <c r="F1120" s="27">
        <v>16.89</v>
      </c>
      <c r="G1120" s="37">
        <f>E1120*F1120</f>
        <v>50.67</v>
      </c>
      <c r="H1120" s="180"/>
      <c r="I1120" s="342"/>
      <c r="J1120" s="342"/>
    </row>
    <row r="1121" spans="1:11" s="179" customFormat="1" x14ac:dyDescent="0.25">
      <c r="A1121" s="161"/>
      <c r="B1121" s="50">
        <v>88267</v>
      </c>
      <c r="C1121" s="17" t="s">
        <v>210</v>
      </c>
      <c r="D1121" s="328" t="s">
        <v>184</v>
      </c>
      <c r="E1121" s="54">
        <v>3</v>
      </c>
      <c r="F1121" s="27">
        <v>21.67</v>
      </c>
      <c r="G1121" s="37">
        <f>E1121*F1121</f>
        <v>65.010000000000005</v>
      </c>
      <c r="H1121" s="180"/>
      <c r="I1121" s="342"/>
      <c r="J1121" s="342"/>
    </row>
    <row r="1122" spans="1:11" s="179" customFormat="1" x14ac:dyDescent="0.25">
      <c r="A1122" s="161"/>
      <c r="B1122" s="327">
        <v>88316</v>
      </c>
      <c r="C1122" s="17" t="s">
        <v>201</v>
      </c>
      <c r="D1122" s="328" t="s">
        <v>200</v>
      </c>
      <c r="E1122" s="26">
        <v>2.5</v>
      </c>
      <c r="F1122" s="27">
        <v>16.21</v>
      </c>
      <c r="G1122" s="37">
        <f>E1122*F1122</f>
        <v>40.525000000000006</v>
      </c>
      <c r="H1122" s="180"/>
      <c r="I1122" s="342"/>
      <c r="J1122" s="342"/>
    </row>
    <row r="1123" spans="1:11" s="179" customFormat="1" x14ac:dyDescent="0.25">
      <c r="A1123" s="161"/>
      <c r="B1123" s="327"/>
      <c r="C1123" s="25"/>
      <c r="D1123" s="25"/>
      <c r="E1123" s="53"/>
      <c r="F1123" s="39" t="s">
        <v>183</v>
      </c>
      <c r="G1123" s="40">
        <f>SUM(G1120:G1122)</f>
        <v>156.20500000000001</v>
      </c>
      <c r="H1123" s="180"/>
      <c r="I1123" s="342"/>
      <c r="J1123" s="342"/>
    </row>
    <row r="1124" spans="1:11" s="179" customFormat="1" x14ac:dyDescent="0.25">
      <c r="A1124" s="161"/>
      <c r="B1124" s="358" t="s">
        <v>182</v>
      </c>
      <c r="C1124" s="359"/>
      <c r="D1124" s="328"/>
      <c r="E1124" s="26"/>
      <c r="F1124" s="36"/>
      <c r="G1124" s="37"/>
      <c r="H1124" s="180"/>
      <c r="I1124" s="342"/>
      <c r="J1124" s="342"/>
    </row>
    <row r="1125" spans="1:11" s="179" customFormat="1" ht="22.5" x14ac:dyDescent="0.25">
      <c r="A1125" s="161"/>
      <c r="B1125" s="50">
        <v>367</v>
      </c>
      <c r="C1125" s="123" t="s">
        <v>1259</v>
      </c>
      <c r="D1125" s="328" t="s">
        <v>1260</v>
      </c>
      <c r="E1125" s="54">
        <v>4.0000000000000001E-3</v>
      </c>
      <c r="F1125" s="42">
        <v>77.64</v>
      </c>
      <c r="G1125" s="37">
        <f t="shared" ref="G1125:G1135" si="15">E1125*F1125</f>
        <v>0.31056</v>
      </c>
      <c r="H1125" s="180"/>
      <c r="I1125" s="342"/>
      <c r="J1125" s="342"/>
      <c r="K1125" s="342"/>
    </row>
    <row r="1126" spans="1:11" s="179" customFormat="1" x14ac:dyDescent="0.25">
      <c r="A1126" s="161"/>
      <c r="B1126" s="50">
        <v>1106</v>
      </c>
      <c r="C1126" s="123" t="s">
        <v>1261</v>
      </c>
      <c r="D1126" s="328" t="s">
        <v>2</v>
      </c>
      <c r="E1126" s="54">
        <v>3</v>
      </c>
      <c r="F1126" s="42">
        <v>0.47</v>
      </c>
      <c r="G1126" s="37">
        <f t="shared" si="15"/>
        <v>1.41</v>
      </c>
      <c r="H1126" s="180"/>
      <c r="I1126" s="342"/>
      <c r="J1126" s="342"/>
      <c r="K1126" s="342"/>
    </row>
    <row r="1127" spans="1:11" s="179" customFormat="1" x14ac:dyDescent="0.25">
      <c r="A1127" s="161"/>
      <c r="B1127" s="50">
        <v>1379</v>
      </c>
      <c r="C1127" s="123" t="s">
        <v>491</v>
      </c>
      <c r="D1127" s="328" t="s">
        <v>2</v>
      </c>
      <c r="E1127" s="54">
        <v>3</v>
      </c>
      <c r="F1127" s="42">
        <v>0.48</v>
      </c>
      <c r="G1127" s="37">
        <f t="shared" si="15"/>
        <v>1.44</v>
      </c>
      <c r="H1127" s="180"/>
      <c r="I1127" s="342"/>
      <c r="J1127" s="342"/>
      <c r="K1127" s="342"/>
    </row>
    <row r="1128" spans="1:11" s="179" customFormat="1" x14ac:dyDescent="0.25">
      <c r="A1128" s="161"/>
      <c r="B1128" s="50">
        <v>20157</v>
      </c>
      <c r="C1128" s="123" t="s">
        <v>1262</v>
      </c>
      <c r="D1128" s="328" t="s">
        <v>190</v>
      </c>
      <c r="E1128" s="71">
        <v>1</v>
      </c>
      <c r="F1128" s="42">
        <v>20.94</v>
      </c>
      <c r="G1128" s="37">
        <f t="shared" si="15"/>
        <v>20.94</v>
      </c>
      <c r="H1128" s="180"/>
      <c r="I1128" s="342"/>
      <c r="J1128" s="342"/>
      <c r="K1128" s="342"/>
    </row>
    <row r="1129" spans="1:11" s="179" customFormat="1" x14ac:dyDescent="0.25">
      <c r="A1129" s="161"/>
      <c r="B1129" s="50">
        <v>20154</v>
      </c>
      <c r="C1129" s="123" t="s">
        <v>1263</v>
      </c>
      <c r="D1129" s="328" t="s">
        <v>190</v>
      </c>
      <c r="E1129" s="71">
        <v>2</v>
      </c>
      <c r="F1129" s="42">
        <v>3.41</v>
      </c>
      <c r="G1129" s="37">
        <f t="shared" si="15"/>
        <v>6.82</v>
      </c>
      <c r="H1129" s="180"/>
      <c r="I1129" s="342"/>
      <c r="J1129" s="342"/>
      <c r="K1129" s="342"/>
    </row>
    <row r="1130" spans="1:11" s="179" customFormat="1" x14ac:dyDescent="0.25">
      <c r="A1130" s="161"/>
      <c r="B1130" s="50">
        <v>20155</v>
      </c>
      <c r="C1130" s="123" t="s">
        <v>1264</v>
      </c>
      <c r="D1130" s="328" t="s">
        <v>190</v>
      </c>
      <c r="E1130" s="71">
        <v>1</v>
      </c>
      <c r="F1130" s="42">
        <v>5.34</v>
      </c>
      <c r="G1130" s="37">
        <f t="shared" si="15"/>
        <v>5.34</v>
      </c>
      <c r="H1130" s="180"/>
      <c r="I1130" s="342"/>
      <c r="J1130" s="342"/>
      <c r="K1130" s="342"/>
    </row>
    <row r="1131" spans="1:11" s="179" customFormat="1" x14ac:dyDescent="0.25">
      <c r="A1131" s="161"/>
      <c r="B1131" s="50">
        <v>7091</v>
      </c>
      <c r="C1131" s="123" t="s">
        <v>1265</v>
      </c>
      <c r="D1131" s="328" t="s">
        <v>190</v>
      </c>
      <c r="E1131" s="71">
        <v>1</v>
      </c>
      <c r="F1131" s="42">
        <v>9.17</v>
      </c>
      <c r="G1131" s="37">
        <f t="shared" si="15"/>
        <v>9.17</v>
      </c>
      <c r="H1131" s="180"/>
      <c r="I1131" s="342"/>
      <c r="J1131" s="342"/>
      <c r="K1131" s="342"/>
    </row>
    <row r="1132" spans="1:11" s="179" customFormat="1" x14ac:dyDescent="0.25">
      <c r="A1132" s="161"/>
      <c r="B1132" s="50">
        <v>37948</v>
      </c>
      <c r="C1132" s="123" t="s">
        <v>1266</v>
      </c>
      <c r="D1132" s="328" t="s">
        <v>190</v>
      </c>
      <c r="E1132" s="71">
        <v>1</v>
      </c>
      <c r="F1132" s="42">
        <v>1.82</v>
      </c>
      <c r="G1132" s="37">
        <f t="shared" si="15"/>
        <v>1.82</v>
      </c>
      <c r="H1132" s="180"/>
      <c r="I1132" s="342"/>
      <c r="J1132" s="342"/>
      <c r="K1132" s="342"/>
    </row>
    <row r="1133" spans="1:11" s="179" customFormat="1" x14ac:dyDescent="0.25">
      <c r="A1133" s="161"/>
      <c r="B1133" s="50">
        <v>9836</v>
      </c>
      <c r="C1133" s="123" t="s">
        <v>1267</v>
      </c>
      <c r="D1133" s="328" t="s">
        <v>11</v>
      </c>
      <c r="E1133" s="71">
        <v>0.33</v>
      </c>
      <c r="F1133" s="42">
        <v>7.5</v>
      </c>
      <c r="G1133" s="37">
        <f t="shared" si="15"/>
        <v>2.4750000000000001</v>
      </c>
      <c r="H1133" s="180"/>
      <c r="I1133" s="342"/>
      <c r="J1133" s="342"/>
      <c r="K1133" s="342"/>
    </row>
    <row r="1134" spans="1:11" s="179" customFormat="1" x14ac:dyDescent="0.25">
      <c r="A1134" s="161"/>
      <c r="B1134" s="50">
        <v>9835</v>
      </c>
      <c r="C1134" s="123" t="s">
        <v>1268</v>
      </c>
      <c r="D1134" s="328" t="s">
        <v>11</v>
      </c>
      <c r="E1134" s="71">
        <v>1.5</v>
      </c>
      <c r="F1134" s="42">
        <v>2.84</v>
      </c>
      <c r="G1134" s="37">
        <f t="shared" si="15"/>
        <v>4.26</v>
      </c>
      <c r="H1134" s="180"/>
      <c r="I1134" s="342"/>
      <c r="J1134" s="342"/>
      <c r="K1134" s="342"/>
    </row>
    <row r="1135" spans="1:11" s="179" customFormat="1" x14ac:dyDescent="0.25">
      <c r="A1135" s="161"/>
      <c r="B1135" s="50">
        <v>9838</v>
      </c>
      <c r="C1135" s="123" t="s">
        <v>1269</v>
      </c>
      <c r="D1135" s="328" t="s">
        <v>11</v>
      </c>
      <c r="E1135" s="71">
        <v>0.5</v>
      </c>
      <c r="F1135" s="42">
        <v>4.88</v>
      </c>
      <c r="G1135" s="37">
        <f t="shared" si="15"/>
        <v>2.44</v>
      </c>
      <c r="H1135" s="180"/>
      <c r="I1135" s="342"/>
      <c r="J1135" s="342"/>
      <c r="K1135" s="342"/>
    </row>
    <row r="1136" spans="1:11" s="179" customFormat="1" x14ac:dyDescent="0.25">
      <c r="A1136" s="161"/>
      <c r="B1136" s="50"/>
      <c r="C1136" s="343"/>
      <c r="D1136" s="25"/>
      <c r="E1136" s="58"/>
      <c r="F1136" s="27" t="s">
        <v>179</v>
      </c>
      <c r="G1136" s="40">
        <f>SUM(G1125:G1135)</f>
        <v>56.425559999999997</v>
      </c>
      <c r="H1136" s="180"/>
      <c r="I1136" s="342"/>
      <c r="J1136" s="342"/>
    </row>
    <row r="1137" spans="1:10" s="179" customFormat="1" ht="15.75" thickBot="1" x14ac:dyDescent="0.3">
      <c r="A1137" s="161"/>
      <c r="B1137" s="327"/>
      <c r="C1137" s="17"/>
      <c r="D1137" s="25"/>
      <c r="E1137" s="26"/>
      <c r="F1137" s="16"/>
      <c r="G1137" s="43"/>
      <c r="H1137" s="180"/>
      <c r="I1137" s="342"/>
      <c r="J1137" s="342"/>
    </row>
    <row r="1138" spans="1:10" s="179" customFormat="1" ht="15.75" thickBot="1" x14ac:dyDescent="0.3">
      <c r="A1138" s="161"/>
      <c r="B1138" s="44" t="s">
        <v>240</v>
      </c>
      <c r="C1138" s="45" t="s">
        <v>1258</v>
      </c>
      <c r="D1138" s="46"/>
      <c r="E1138" s="47"/>
      <c r="F1138" s="16" t="s">
        <v>178</v>
      </c>
      <c r="G1138" s="113">
        <f>G1123+G1136</f>
        <v>212.63056</v>
      </c>
      <c r="H1138" s="180"/>
      <c r="I1138" s="342"/>
      <c r="J1138" s="342"/>
    </row>
    <row r="1139" spans="1:10" ht="15.75" thickBot="1" x14ac:dyDescent="0.3">
      <c r="B1139" s="23" t="s">
        <v>92</v>
      </c>
      <c r="C1139" s="22" t="s">
        <v>336</v>
      </c>
      <c r="D1139" s="21"/>
      <c r="E1139" s="21"/>
      <c r="F1139" s="21"/>
      <c r="G1139" s="21"/>
    </row>
    <row r="1140" spans="1:10" x14ac:dyDescent="0.25">
      <c r="B1140" s="30" t="s">
        <v>167</v>
      </c>
      <c r="C1140" s="51" t="s">
        <v>352</v>
      </c>
      <c r="D1140" s="32"/>
      <c r="E1140" s="69" t="s">
        <v>193</v>
      </c>
      <c r="F1140" s="33" t="s">
        <v>192</v>
      </c>
      <c r="G1140" s="34" t="s">
        <v>191</v>
      </c>
    </row>
    <row r="1141" spans="1:10" x14ac:dyDescent="0.25">
      <c r="B1141" s="35" t="s">
        <v>0</v>
      </c>
      <c r="C1141" s="20" t="s">
        <v>1</v>
      </c>
      <c r="D1141" s="20" t="s">
        <v>190</v>
      </c>
      <c r="E1141" s="59" t="s">
        <v>189</v>
      </c>
      <c r="F1141" s="18" t="s">
        <v>188</v>
      </c>
      <c r="G1141" s="64" t="s">
        <v>187</v>
      </c>
    </row>
    <row r="1142" spans="1:10" x14ac:dyDescent="0.25">
      <c r="B1142" s="358" t="s">
        <v>186</v>
      </c>
      <c r="C1142" s="359"/>
      <c r="D1142" s="216"/>
      <c r="E1142" s="26"/>
      <c r="F1142" s="36"/>
      <c r="G1142" s="37"/>
    </row>
    <row r="1143" spans="1:10" ht="22.5" x14ac:dyDescent="0.25">
      <c r="B1143" s="50">
        <v>90466</v>
      </c>
      <c r="C1143" s="17" t="s">
        <v>518</v>
      </c>
      <c r="D1143" s="216" t="s">
        <v>11</v>
      </c>
      <c r="E1143" s="239">
        <v>1.4</v>
      </c>
      <c r="F1143" s="27">
        <v>10.62</v>
      </c>
      <c r="G1143" s="37">
        <f>E1143*F1143</f>
        <v>14.867999999999999</v>
      </c>
      <c r="H1143" s="180" t="s">
        <v>1095</v>
      </c>
    </row>
    <row r="1144" spans="1:10" x14ac:dyDescent="0.25">
      <c r="B1144" s="215"/>
      <c r="C1144" s="25"/>
      <c r="D1144" s="25"/>
      <c r="E1144" s="53"/>
      <c r="F1144" s="39" t="s">
        <v>183</v>
      </c>
      <c r="G1144" s="40">
        <f>SUM(G1143:G1143)</f>
        <v>14.867999999999999</v>
      </c>
    </row>
    <row r="1145" spans="1:10" x14ac:dyDescent="0.25">
      <c r="B1145" s="358" t="s">
        <v>182</v>
      </c>
      <c r="C1145" s="359"/>
      <c r="D1145" s="216"/>
      <c r="E1145" s="26"/>
      <c r="F1145" s="36"/>
      <c r="G1145" s="37"/>
    </row>
    <row r="1146" spans="1:10" x14ac:dyDescent="0.25">
      <c r="B1146" s="50">
        <v>88629</v>
      </c>
      <c r="C1146" s="55" t="s">
        <v>230</v>
      </c>
      <c r="D1146" s="216" t="s">
        <v>253</v>
      </c>
      <c r="E1146" s="58">
        <f>0.003*1.4</f>
        <v>4.1999999999999997E-3</v>
      </c>
      <c r="F1146" s="42">
        <v>412.63</v>
      </c>
      <c r="G1146" s="37">
        <f>E1146*F1146</f>
        <v>1.7330459999999999</v>
      </c>
    </row>
    <row r="1147" spans="1:10" x14ac:dyDescent="0.25">
      <c r="A1147" s="240"/>
      <c r="B1147" s="50" t="str">
        <f>'MAPA COTAÇÃO'!B128</f>
        <v>COT-25</v>
      </c>
      <c r="C1147" s="55" t="str">
        <f>'MAPA COTAÇÃO'!B133</f>
        <v>CAIXA PARA  HIDROMETRO COM ACRILICO - PADRÃO CASAN</v>
      </c>
      <c r="D1147" s="216" t="str">
        <f>'MAPA COTAÇÃO'!D133</f>
        <v>UNID</v>
      </c>
      <c r="E1147" s="54">
        <v>1</v>
      </c>
      <c r="F1147" s="42">
        <f>'MAPA COTAÇÃO'!J133</f>
        <v>59.9</v>
      </c>
      <c r="G1147" s="37">
        <f>E1147*F1147</f>
        <v>59.9</v>
      </c>
    </row>
    <row r="1148" spans="1:10" x14ac:dyDescent="0.25">
      <c r="B1148" s="215"/>
      <c r="C1148" s="25"/>
      <c r="D1148" s="25"/>
      <c r="E1148" s="26"/>
      <c r="F1148" s="27" t="s">
        <v>179</v>
      </c>
      <c r="G1148" s="40">
        <f>SUM(G1146:G1147)</f>
        <v>61.633046</v>
      </c>
    </row>
    <row r="1149" spans="1:10" ht="15.75" thickBot="1" x14ac:dyDescent="0.3">
      <c r="B1149" s="215"/>
      <c r="C1149" s="17" t="s">
        <v>682</v>
      </c>
      <c r="D1149" s="25"/>
      <c r="E1149" s="26"/>
      <c r="F1149" s="16"/>
      <c r="G1149" s="43"/>
    </row>
    <row r="1150" spans="1:10" ht="15.75" thickBot="1" x14ac:dyDescent="0.3">
      <c r="B1150" s="44" t="s">
        <v>240</v>
      </c>
      <c r="C1150" s="45" t="s">
        <v>193</v>
      </c>
      <c r="D1150" s="46"/>
      <c r="E1150" s="47"/>
      <c r="F1150" s="16" t="s">
        <v>178</v>
      </c>
      <c r="G1150" s="113">
        <f>G1144+G1148</f>
        <v>76.501046000000002</v>
      </c>
      <c r="H1150" s="181"/>
    </row>
    <row r="1151" spans="1:10" x14ac:dyDescent="0.25">
      <c r="B1151" s="30" t="s">
        <v>348</v>
      </c>
      <c r="C1151" s="51" t="s">
        <v>334</v>
      </c>
      <c r="D1151" s="32"/>
      <c r="E1151" s="69" t="s">
        <v>335</v>
      </c>
      <c r="F1151" s="33" t="s">
        <v>192</v>
      </c>
      <c r="G1151" s="34" t="s">
        <v>191</v>
      </c>
    </row>
    <row r="1152" spans="1:10" x14ac:dyDescent="0.25">
      <c r="B1152" s="35" t="s">
        <v>0</v>
      </c>
      <c r="C1152" s="20" t="s">
        <v>1</v>
      </c>
      <c r="D1152" s="20" t="s">
        <v>190</v>
      </c>
      <c r="E1152" s="59" t="s">
        <v>189</v>
      </c>
      <c r="F1152" s="18" t="s">
        <v>188</v>
      </c>
      <c r="G1152" s="64" t="s">
        <v>187</v>
      </c>
    </row>
    <row r="1153" spans="2:7" x14ac:dyDescent="0.25">
      <c r="B1153" s="358" t="s">
        <v>186</v>
      </c>
      <c r="C1153" s="359"/>
      <c r="D1153" s="216"/>
      <c r="E1153" s="26"/>
      <c r="F1153" s="36"/>
      <c r="G1153" s="37"/>
    </row>
    <row r="1154" spans="2:7" ht="22.5" x14ac:dyDescent="0.25">
      <c r="B1154" s="50">
        <v>88248</v>
      </c>
      <c r="C1154" s="17" t="s">
        <v>211</v>
      </c>
      <c r="D1154" s="216" t="s">
        <v>184</v>
      </c>
      <c r="E1154" s="54">
        <v>0.20200000000000001</v>
      </c>
      <c r="F1154" s="27">
        <v>16.89</v>
      </c>
      <c r="G1154" s="37">
        <f>E1154*F1154</f>
        <v>3.4117800000000003</v>
      </c>
    </row>
    <row r="1155" spans="2:7" x14ac:dyDescent="0.25">
      <c r="B1155" s="50">
        <v>88267</v>
      </c>
      <c r="C1155" s="17" t="s">
        <v>210</v>
      </c>
      <c r="D1155" s="216" t="s">
        <v>184</v>
      </c>
      <c r="E1155" s="54">
        <v>0.20200000000000001</v>
      </c>
      <c r="F1155" s="27">
        <v>21.67</v>
      </c>
      <c r="G1155" s="37">
        <f>E1155*F1155</f>
        <v>4.3773400000000002</v>
      </c>
    </row>
    <row r="1156" spans="2:7" x14ac:dyDescent="0.25">
      <c r="B1156" s="215"/>
      <c r="C1156" s="25"/>
      <c r="D1156" s="25"/>
      <c r="E1156" s="53"/>
      <c r="F1156" s="39" t="s">
        <v>183</v>
      </c>
      <c r="G1156" s="40">
        <f>SUM(G1154:G1155)</f>
        <v>7.7891200000000005</v>
      </c>
    </row>
    <row r="1157" spans="2:7" x14ac:dyDescent="0.25">
      <c r="B1157" s="358" t="s">
        <v>182</v>
      </c>
      <c r="C1157" s="359"/>
      <c r="D1157" s="216"/>
      <c r="E1157" s="26"/>
      <c r="F1157" s="36"/>
      <c r="G1157" s="37"/>
    </row>
    <row r="1158" spans="2:7" x14ac:dyDescent="0.25">
      <c r="B1158" s="50">
        <v>3148</v>
      </c>
      <c r="C1158" s="55" t="s">
        <v>208</v>
      </c>
      <c r="D1158" s="216" t="s">
        <v>180</v>
      </c>
      <c r="E1158" s="54">
        <v>7.0000000000000001E-3</v>
      </c>
      <c r="F1158" s="42">
        <v>6.63</v>
      </c>
      <c r="G1158" s="37">
        <f>E1158*F1158</f>
        <v>4.641E-2</v>
      </c>
    </row>
    <row r="1159" spans="2:7" ht="22.5" x14ac:dyDescent="0.25">
      <c r="B1159" s="50">
        <v>11824</v>
      </c>
      <c r="C1159" s="55" t="s">
        <v>621</v>
      </c>
      <c r="D1159" s="216" t="s">
        <v>180</v>
      </c>
      <c r="E1159" s="54">
        <v>1</v>
      </c>
      <c r="F1159" s="42">
        <v>25.99</v>
      </c>
      <c r="G1159" s="37">
        <f>E1159*F1159</f>
        <v>25.99</v>
      </c>
    </row>
    <row r="1160" spans="2:7" x14ac:dyDescent="0.25">
      <c r="B1160" s="215"/>
      <c r="C1160" s="25"/>
      <c r="D1160" s="25"/>
      <c r="E1160" s="26"/>
      <c r="F1160" s="27" t="s">
        <v>179</v>
      </c>
      <c r="G1160" s="40">
        <f>SUM(G1158:G1159)</f>
        <v>26.03641</v>
      </c>
    </row>
    <row r="1161" spans="2:7" ht="15.75" thickBot="1" x14ac:dyDescent="0.3">
      <c r="B1161" s="215"/>
      <c r="C1161" s="17"/>
      <c r="D1161" s="25"/>
      <c r="E1161" s="26"/>
      <c r="F1161" s="16"/>
      <c r="G1161" s="43"/>
    </row>
    <row r="1162" spans="2:7" ht="15.75" thickBot="1" x14ac:dyDescent="0.3">
      <c r="B1162" s="44" t="s">
        <v>240</v>
      </c>
      <c r="C1162" s="45" t="s">
        <v>335</v>
      </c>
      <c r="D1162" s="46"/>
      <c r="E1162" s="47"/>
      <c r="F1162" s="16" t="s">
        <v>178</v>
      </c>
      <c r="G1162" s="113">
        <f>G1156+G1160</f>
        <v>33.825530000000001</v>
      </c>
    </row>
    <row r="1163" spans="2:7" x14ac:dyDescent="0.25">
      <c r="B1163" s="30" t="s">
        <v>349</v>
      </c>
      <c r="C1163" s="51" t="s">
        <v>338</v>
      </c>
      <c r="D1163" s="32"/>
      <c r="E1163" s="69" t="s">
        <v>339</v>
      </c>
      <c r="F1163" s="33" t="s">
        <v>192</v>
      </c>
      <c r="G1163" s="34" t="s">
        <v>191</v>
      </c>
    </row>
    <row r="1164" spans="2:7" x14ac:dyDescent="0.25">
      <c r="B1164" s="35" t="s">
        <v>0</v>
      </c>
      <c r="C1164" s="20" t="s">
        <v>1</v>
      </c>
      <c r="D1164" s="20" t="s">
        <v>190</v>
      </c>
      <c r="E1164" s="59" t="s">
        <v>189</v>
      </c>
      <c r="F1164" s="18" t="s">
        <v>188</v>
      </c>
      <c r="G1164" s="64" t="s">
        <v>187</v>
      </c>
    </row>
    <row r="1165" spans="2:7" x14ac:dyDescent="0.25">
      <c r="B1165" s="358" t="s">
        <v>186</v>
      </c>
      <c r="C1165" s="359"/>
      <c r="D1165" s="216"/>
      <c r="E1165" s="26"/>
      <c r="F1165" s="36"/>
      <c r="G1165" s="37"/>
    </row>
    <row r="1166" spans="2:7" x14ac:dyDescent="0.25">
      <c r="B1166" s="50">
        <v>88243</v>
      </c>
      <c r="C1166" s="17" t="s">
        <v>395</v>
      </c>
      <c r="D1166" s="216" t="s">
        <v>184</v>
      </c>
      <c r="E1166" s="54">
        <v>6.1</v>
      </c>
      <c r="F1166" s="27">
        <v>17.29</v>
      </c>
      <c r="G1166" s="37">
        <f>E1166*F1166</f>
        <v>105.46899999999999</v>
      </c>
    </row>
    <row r="1167" spans="2:7" x14ac:dyDescent="0.25">
      <c r="B1167" s="50">
        <v>88279</v>
      </c>
      <c r="C1167" s="17" t="s">
        <v>622</v>
      </c>
      <c r="D1167" s="216" t="s">
        <v>184</v>
      </c>
      <c r="E1167" s="54">
        <v>6.1</v>
      </c>
      <c r="F1167" s="27">
        <v>34.01</v>
      </c>
      <c r="G1167" s="37">
        <f>E1167*F1167</f>
        <v>207.46099999999998</v>
      </c>
    </row>
    <row r="1168" spans="2:7" x14ac:dyDescent="0.25">
      <c r="B1168" s="215"/>
      <c r="C1168" s="25"/>
      <c r="D1168" s="25"/>
      <c r="E1168" s="53"/>
      <c r="F1168" s="39" t="s">
        <v>183</v>
      </c>
      <c r="G1168" s="40">
        <f>SUM(G1166:G1167)</f>
        <v>312.92999999999995</v>
      </c>
    </row>
    <row r="1169" spans="2:7" x14ac:dyDescent="0.25">
      <c r="B1169" s="358" t="s">
        <v>182</v>
      </c>
      <c r="C1169" s="359"/>
      <c r="D1169" s="216"/>
      <c r="E1169" s="26"/>
      <c r="F1169" s="36"/>
      <c r="G1169" s="37"/>
    </row>
    <row r="1170" spans="2:7" ht="33.75" x14ac:dyDescent="0.25">
      <c r="B1170" s="50">
        <v>734</v>
      </c>
      <c r="C1170" s="55" t="s">
        <v>623</v>
      </c>
      <c r="D1170" s="216" t="s">
        <v>180</v>
      </c>
      <c r="E1170" s="54">
        <v>1</v>
      </c>
      <c r="F1170" s="42">
        <v>761.51</v>
      </c>
      <c r="G1170" s="37">
        <f>E1170*F1170</f>
        <v>761.51</v>
      </c>
    </row>
    <row r="1171" spans="2:7" x14ac:dyDescent="0.25">
      <c r="B1171" s="215"/>
      <c r="C1171" s="25"/>
      <c r="D1171" s="25"/>
      <c r="E1171" s="26"/>
      <c r="F1171" s="27" t="s">
        <v>179</v>
      </c>
      <c r="G1171" s="40">
        <f>SUM(G1170:G1170)</f>
        <v>761.51</v>
      </c>
    </row>
    <row r="1172" spans="2:7" ht="15.75" thickBot="1" x14ac:dyDescent="0.3">
      <c r="B1172" s="215"/>
      <c r="C1172" s="17"/>
      <c r="D1172" s="25"/>
      <c r="E1172" s="26"/>
      <c r="F1172" s="16"/>
      <c r="G1172" s="43"/>
    </row>
    <row r="1173" spans="2:7" ht="15.75" thickBot="1" x14ac:dyDescent="0.3">
      <c r="B1173" s="44" t="s">
        <v>240</v>
      </c>
      <c r="C1173" s="45" t="s">
        <v>339</v>
      </c>
      <c r="D1173" s="46"/>
      <c r="E1173" s="47"/>
      <c r="F1173" s="16" t="s">
        <v>178</v>
      </c>
      <c r="G1173" s="113">
        <f>G1168+G1171</f>
        <v>1074.44</v>
      </c>
    </row>
    <row r="1174" spans="2:7" x14ac:dyDescent="0.25">
      <c r="B1174" s="30" t="s">
        <v>350</v>
      </c>
      <c r="C1174" s="51" t="s">
        <v>624</v>
      </c>
      <c r="D1174" s="32"/>
      <c r="E1174" s="69" t="s">
        <v>342</v>
      </c>
      <c r="F1174" s="33" t="s">
        <v>192</v>
      </c>
      <c r="G1174" s="34" t="s">
        <v>191</v>
      </c>
    </row>
    <row r="1175" spans="2:7" x14ac:dyDescent="0.25">
      <c r="B1175" s="35" t="s">
        <v>0</v>
      </c>
      <c r="C1175" s="20" t="s">
        <v>1</v>
      </c>
      <c r="D1175" s="20" t="s">
        <v>190</v>
      </c>
      <c r="E1175" s="59" t="s">
        <v>189</v>
      </c>
      <c r="F1175" s="18" t="s">
        <v>188</v>
      </c>
      <c r="G1175" s="64" t="s">
        <v>187</v>
      </c>
    </row>
    <row r="1176" spans="2:7" x14ac:dyDescent="0.25">
      <c r="B1176" s="358" t="s">
        <v>186</v>
      </c>
      <c r="C1176" s="359"/>
      <c r="D1176" s="216"/>
      <c r="E1176" s="26"/>
      <c r="F1176" s="36"/>
      <c r="G1176" s="37"/>
    </row>
    <row r="1177" spans="2:7" x14ac:dyDescent="0.25">
      <c r="B1177" s="50">
        <v>88243</v>
      </c>
      <c r="C1177" s="17" t="s">
        <v>395</v>
      </c>
      <c r="D1177" s="216" t="s">
        <v>184</v>
      </c>
      <c r="E1177" s="54">
        <f>6.1/2</f>
        <v>3.05</v>
      </c>
      <c r="F1177" s="27">
        <v>17.29</v>
      </c>
      <c r="G1177" s="37">
        <f>E1177*F1177</f>
        <v>52.734499999999997</v>
      </c>
    </row>
    <row r="1178" spans="2:7" x14ac:dyDescent="0.25">
      <c r="B1178" s="50">
        <v>88279</v>
      </c>
      <c r="C1178" s="17" t="s">
        <v>622</v>
      </c>
      <c r="D1178" s="216" t="s">
        <v>184</v>
      </c>
      <c r="E1178" s="54">
        <f>6.1/2</f>
        <v>3.05</v>
      </c>
      <c r="F1178" s="27">
        <v>34.01</v>
      </c>
      <c r="G1178" s="37">
        <f>E1178*F1178</f>
        <v>103.73049999999999</v>
      </c>
    </row>
    <row r="1179" spans="2:7" x14ac:dyDescent="0.25">
      <c r="B1179" s="215"/>
      <c r="C1179" s="25"/>
      <c r="D1179" s="25"/>
      <c r="E1179" s="53"/>
      <c r="F1179" s="39" t="s">
        <v>183</v>
      </c>
      <c r="G1179" s="40">
        <f>SUM(G1177:G1178)</f>
        <v>156.46499999999997</v>
      </c>
    </row>
    <row r="1180" spans="2:7" x14ac:dyDescent="0.25">
      <c r="B1180" s="358" t="s">
        <v>182</v>
      </c>
      <c r="C1180" s="359"/>
      <c r="D1180" s="216"/>
      <c r="E1180" s="26"/>
      <c r="F1180" s="36"/>
      <c r="G1180" s="37"/>
    </row>
    <row r="1181" spans="2:7" ht="33.75" x14ac:dyDescent="0.25">
      <c r="B1181" s="50">
        <v>734</v>
      </c>
      <c r="C1181" s="55" t="s">
        <v>623</v>
      </c>
      <c r="D1181" s="216" t="s">
        <v>180</v>
      </c>
      <c r="E1181" s="54">
        <f>1/2</f>
        <v>0.5</v>
      </c>
      <c r="F1181" s="42">
        <v>761.51</v>
      </c>
      <c r="G1181" s="37">
        <f>E1181*F1181</f>
        <v>380.755</v>
      </c>
    </row>
    <row r="1182" spans="2:7" x14ac:dyDescent="0.25">
      <c r="B1182" s="215"/>
      <c r="C1182" s="25"/>
      <c r="D1182" s="25"/>
      <c r="E1182" s="26"/>
      <c r="F1182" s="27" t="s">
        <v>179</v>
      </c>
      <c r="G1182" s="40">
        <f>SUM(G1181:G1181)</f>
        <v>380.755</v>
      </c>
    </row>
    <row r="1183" spans="2:7" ht="15.75" thickBot="1" x14ac:dyDescent="0.3">
      <c r="B1183" s="215"/>
      <c r="C1183" s="17"/>
      <c r="D1183" s="25"/>
      <c r="E1183" s="26"/>
      <c r="F1183" s="16"/>
      <c r="G1183" s="43"/>
    </row>
    <row r="1184" spans="2:7" ht="15.75" thickBot="1" x14ac:dyDescent="0.3">
      <c r="B1184" s="44" t="s">
        <v>240</v>
      </c>
      <c r="C1184" s="45" t="s">
        <v>342</v>
      </c>
      <c r="D1184" s="46"/>
      <c r="E1184" s="47"/>
      <c r="F1184" s="16" t="s">
        <v>178</v>
      </c>
      <c r="G1184" s="113">
        <f>G1179+G1182</f>
        <v>537.22</v>
      </c>
    </row>
    <row r="1185" spans="2:7" x14ac:dyDescent="0.25">
      <c r="B1185" s="23" t="s">
        <v>62</v>
      </c>
      <c r="C1185" s="22" t="s">
        <v>27</v>
      </c>
      <c r="D1185" s="21"/>
      <c r="E1185" s="21"/>
      <c r="F1185" s="21"/>
      <c r="G1185" s="21"/>
    </row>
    <row r="1186" spans="2:7" ht="15.75" thickBot="1" x14ac:dyDescent="0.3">
      <c r="B1186" s="23" t="s">
        <v>287</v>
      </c>
      <c r="C1186" s="22" t="s">
        <v>96</v>
      </c>
      <c r="D1186" s="21"/>
      <c r="E1186" s="21"/>
      <c r="F1186" s="21"/>
      <c r="G1186" s="21"/>
    </row>
    <row r="1187" spans="2:7" x14ac:dyDescent="0.25">
      <c r="B1187" s="30" t="s">
        <v>288</v>
      </c>
      <c r="C1187" s="51" t="s">
        <v>625</v>
      </c>
      <c r="D1187" s="32"/>
      <c r="E1187" s="69" t="s">
        <v>626</v>
      </c>
      <c r="F1187" s="33" t="s">
        <v>192</v>
      </c>
      <c r="G1187" s="34" t="s">
        <v>191</v>
      </c>
    </row>
    <row r="1188" spans="2:7" x14ac:dyDescent="0.25">
      <c r="B1188" s="35" t="s">
        <v>0</v>
      </c>
      <c r="C1188" s="20" t="s">
        <v>1</v>
      </c>
      <c r="D1188" s="20" t="s">
        <v>190</v>
      </c>
      <c r="E1188" s="59" t="s">
        <v>189</v>
      </c>
      <c r="F1188" s="18" t="s">
        <v>188</v>
      </c>
      <c r="G1188" s="64" t="s">
        <v>187</v>
      </c>
    </row>
    <row r="1189" spans="2:7" x14ac:dyDescent="0.25">
      <c r="B1189" s="358" t="s">
        <v>186</v>
      </c>
      <c r="C1189" s="359"/>
      <c r="D1189" s="216"/>
      <c r="E1189" s="26"/>
      <c r="F1189" s="36"/>
      <c r="G1189" s="37"/>
    </row>
    <row r="1190" spans="2:7" x14ac:dyDescent="0.25">
      <c r="B1190" s="50">
        <v>88264</v>
      </c>
      <c r="C1190" s="17" t="s">
        <v>185</v>
      </c>
      <c r="D1190" s="216" t="s">
        <v>184</v>
      </c>
      <c r="E1190" s="26">
        <v>0.17949999999999999</v>
      </c>
      <c r="F1190" s="42">
        <v>25.71</v>
      </c>
      <c r="G1190" s="37">
        <f>E1190*F1190</f>
        <v>4.6149449999999996</v>
      </c>
    </row>
    <row r="1191" spans="2:7" x14ac:dyDescent="0.25">
      <c r="B1191" s="50">
        <v>88247</v>
      </c>
      <c r="C1191" s="17" t="s">
        <v>197</v>
      </c>
      <c r="D1191" s="216" t="s">
        <v>184</v>
      </c>
      <c r="E1191" s="26">
        <v>7.4800000000000005E-2</v>
      </c>
      <c r="F1191" s="27">
        <v>19.93</v>
      </c>
      <c r="G1191" s="37">
        <f>E1191*F1191</f>
        <v>1.490764</v>
      </c>
    </row>
    <row r="1192" spans="2:7" x14ac:dyDescent="0.25">
      <c r="B1192" s="215"/>
      <c r="C1192" s="25"/>
      <c r="D1192" s="25"/>
      <c r="E1192" s="53"/>
      <c r="F1192" s="39" t="s">
        <v>183</v>
      </c>
      <c r="G1192" s="40">
        <f>SUM(G1190:G1191)</f>
        <v>6.1057089999999992</v>
      </c>
    </row>
    <row r="1193" spans="2:7" x14ac:dyDescent="0.25">
      <c r="B1193" s="358" t="s">
        <v>182</v>
      </c>
      <c r="C1193" s="359"/>
      <c r="D1193" s="216"/>
      <c r="E1193" s="26"/>
      <c r="F1193" s="36"/>
      <c r="G1193" s="37"/>
    </row>
    <row r="1194" spans="2:7" ht="22.5" x14ac:dyDescent="0.25">
      <c r="B1194" s="215">
        <v>38774</v>
      </c>
      <c r="C1194" s="17" t="s">
        <v>289</v>
      </c>
      <c r="D1194" s="216" t="s">
        <v>190</v>
      </c>
      <c r="E1194" s="41">
        <v>1</v>
      </c>
      <c r="F1194" s="42">
        <v>30.22</v>
      </c>
      <c r="G1194" s="37">
        <f>E1194*F1194</f>
        <v>30.22</v>
      </c>
    </row>
    <row r="1195" spans="2:7" x14ac:dyDescent="0.25">
      <c r="B1195" s="215"/>
      <c r="C1195" s="25"/>
      <c r="D1195" s="25"/>
      <c r="E1195" s="26"/>
      <c r="F1195" s="27" t="s">
        <v>179</v>
      </c>
      <c r="G1195" s="40">
        <f>SUM(G1194:G1194)</f>
        <v>30.22</v>
      </c>
    </row>
    <row r="1196" spans="2:7" ht="15.75" thickBot="1" x14ac:dyDescent="0.3">
      <c r="B1196" s="215"/>
      <c r="C1196" s="17"/>
      <c r="D1196" s="25"/>
      <c r="E1196" s="26"/>
      <c r="F1196" s="16"/>
      <c r="G1196" s="43"/>
    </row>
    <row r="1197" spans="2:7" ht="15.75" thickBot="1" x14ac:dyDescent="0.3">
      <c r="B1197" s="44" t="s">
        <v>240</v>
      </c>
      <c r="C1197" s="45" t="s">
        <v>626</v>
      </c>
      <c r="D1197" s="46"/>
      <c r="E1197" s="47"/>
      <c r="F1197" s="16" t="s">
        <v>178</v>
      </c>
      <c r="G1197" s="113">
        <f>G1192+G1195</f>
        <v>36.325708999999996</v>
      </c>
    </row>
    <row r="1198" spans="2:7" x14ac:dyDescent="0.25">
      <c r="B1198" s="23" t="s">
        <v>93</v>
      </c>
      <c r="C1198" s="22" t="s">
        <v>667</v>
      </c>
      <c r="D1198" s="21"/>
      <c r="E1198" s="21"/>
      <c r="F1198" s="21"/>
      <c r="G1198" s="21"/>
    </row>
    <row r="1199" spans="2:7" x14ac:dyDescent="0.25">
      <c r="B1199" s="23" t="s">
        <v>94</v>
      </c>
      <c r="C1199" s="22" t="s">
        <v>103</v>
      </c>
      <c r="D1199" s="21"/>
      <c r="E1199" s="21"/>
      <c r="F1199" s="21"/>
      <c r="G1199" s="21"/>
    </row>
    <row r="1200" spans="2:7" ht="15.75" thickBot="1" x14ac:dyDescent="0.3">
      <c r="B1200" s="23" t="s">
        <v>104</v>
      </c>
      <c r="C1200" s="22" t="s">
        <v>631</v>
      </c>
      <c r="D1200" s="21"/>
      <c r="E1200" s="21"/>
      <c r="F1200" s="21"/>
      <c r="G1200" s="21"/>
    </row>
    <row r="1201" spans="1:8" x14ac:dyDescent="0.25">
      <c r="B1201" s="30" t="s">
        <v>169</v>
      </c>
      <c r="C1201" s="51" t="s">
        <v>802</v>
      </c>
      <c r="D1201" s="32"/>
      <c r="E1201" s="69" t="s">
        <v>193</v>
      </c>
      <c r="F1201" s="33" t="s">
        <v>192</v>
      </c>
      <c r="G1201" s="34" t="s">
        <v>191</v>
      </c>
    </row>
    <row r="1202" spans="1:8" x14ac:dyDescent="0.25">
      <c r="B1202" s="35" t="s">
        <v>0</v>
      </c>
      <c r="C1202" s="20" t="s">
        <v>1</v>
      </c>
      <c r="D1202" s="20" t="s">
        <v>190</v>
      </c>
      <c r="E1202" s="59" t="s">
        <v>189</v>
      </c>
      <c r="F1202" s="18" t="s">
        <v>188</v>
      </c>
      <c r="G1202" s="64" t="s">
        <v>187</v>
      </c>
    </row>
    <row r="1203" spans="1:8" x14ac:dyDescent="0.25">
      <c r="B1203" s="358" t="s">
        <v>186</v>
      </c>
      <c r="C1203" s="359"/>
      <c r="D1203" s="216"/>
      <c r="E1203" s="26"/>
      <c r="F1203" s="36"/>
      <c r="G1203" s="37"/>
    </row>
    <row r="1204" spans="1:8" x14ac:dyDescent="0.25">
      <c r="B1204" s="50">
        <v>88247</v>
      </c>
      <c r="C1204" s="17" t="s">
        <v>197</v>
      </c>
      <c r="D1204" s="216" t="s">
        <v>184</v>
      </c>
      <c r="E1204" s="71">
        <v>0.1</v>
      </c>
      <c r="F1204" s="27">
        <v>19.93</v>
      </c>
      <c r="G1204" s="37">
        <f>E1204*F1204</f>
        <v>1.9930000000000001</v>
      </c>
    </row>
    <row r="1205" spans="1:8" x14ac:dyDescent="0.25">
      <c r="B1205" s="215"/>
      <c r="C1205" s="25"/>
      <c r="D1205" s="25"/>
      <c r="E1205" s="68"/>
      <c r="F1205" s="39" t="s">
        <v>183</v>
      </c>
      <c r="G1205" s="40">
        <f>SUM(G1204)</f>
        <v>1.9930000000000001</v>
      </c>
    </row>
    <row r="1206" spans="1:8" x14ac:dyDescent="0.25">
      <c r="B1206" s="358" t="s">
        <v>182</v>
      </c>
      <c r="C1206" s="359"/>
      <c r="D1206" s="216"/>
      <c r="E1206" s="54"/>
      <c r="F1206" s="36"/>
      <c r="G1206" s="37"/>
    </row>
    <row r="1207" spans="1:8" s="137" customFormat="1" x14ac:dyDescent="0.25">
      <c r="A1207" s="161"/>
      <c r="B1207" s="215">
        <v>3753</v>
      </c>
      <c r="C1207" s="17" t="s">
        <v>803</v>
      </c>
      <c r="D1207" s="216" t="s">
        <v>180</v>
      </c>
      <c r="E1207" s="54">
        <f>1/4</f>
        <v>0.25</v>
      </c>
      <c r="F1207" s="42">
        <v>8.4600000000000009</v>
      </c>
      <c r="G1207" s="37">
        <f>E1207*F1207</f>
        <v>2.1150000000000002</v>
      </c>
      <c r="H1207" s="180"/>
    </row>
    <row r="1208" spans="1:8" s="137" customFormat="1" x14ac:dyDescent="0.25">
      <c r="A1208" s="161"/>
      <c r="B1208" s="50">
        <v>38782</v>
      </c>
      <c r="C1208" s="17" t="s">
        <v>628</v>
      </c>
      <c r="D1208" s="216" t="s">
        <v>180</v>
      </c>
      <c r="E1208" s="54">
        <f t="shared" ref="E1208:E1210" si="16">1/4</f>
        <v>0.25</v>
      </c>
      <c r="F1208" s="42">
        <v>11.01</v>
      </c>
      <c r="G1208" s="37">
        <f>E1208*F1208</f>
        <v>2.7524999999999999</v>
      </c>
      <c r="H1208" s="180"/>
    </row>
    <row r="1209" spans="1:8" s="137" customFormat="1" x14ac:dyDescent="0.25">
      <c r="A1209" s="161"/>
      <c r="B1209" s="215">
        <v>38778</v>
      </c>
      <c r="C1209" s="17" t="s">
        <v>804</v>
      </c>
      <c r="D1209" s="216" t="s">
        <v>180</v>
      </c>
      <c r="E1209" s="54">
        <f t="shared" si="16"/>
        <v>0.25</v>
      </c>
      <c r="F1209" s="42">
        <v>8.26</v>
      </c>
      <c r="G1209" s="37">
        <f>E1209*F1209</f>
        <v>2.0649999999999999</v>
      </c>
      <c r="H1209" s="180"/>
    </row>
    <row r="1210" spans="1:8" x14ac:dyDescent="0.25">
      <c r="B1210" s="50">
        <v>38779</v>
      </c>
      <c r="C1210" s="17" t="s">
        <v>805</v>
      </c>
      <c r="D1210" s="216" t="s">
        <v>180</v>
      </c>
      <c r="E1210" s="54">
        <f t="shared" si="16"/>
        <v>0.25</v>
      </c>
      <c r="F1210" s="42">
        <v>8.76</v>
      </c>
      <c r="G1210" s="37">
        <f>E1210*F1210</f>
        <v>2.19</v>
      </c>
    </row>
    <row r="1211" spans="1:8" x14ac:dyDescent="0.25">
      <c r="B1211" s="215"/>
      <c r="C1211" s="25"/>
      <c r="D1211" s="25"/>
      <c r="E1211" s="26"/>
      <c r="F1211" s="27" t="s">
        <v>179</v>
      </c>
      <c r="G1211" s="40">
        <f>SUM(G1207:G1210)</f>
        <v>9.1224999999999987</v>
      </c>
    </row>
    <row r="1212" spans="1:8" ht="15.75" thickBot="1" x14ac:dyDescent="0.3">
      <c r="B1212" s="215"/>
      <c r="C1212" s="17"/>
      <c r="D1212" s="25"/>
      <c r="E1212" s="26"/>
      <c r="F1212" s="16"/>
      <c r="G1212" s="43"/>
    </row>
    <row r="1213" spans="1:8" ht="15.75" thickBot="1" x14ac:dyDescent="0.3">
      <c r="B1213" s="44" t="s">
        <v>240</v>
      </c>
      <c r="C1213" s="45" t="s">
        <v>838</v>
      </c>
      <c r="D1213" s="46"/>
      <c r="E1213" s="47"/>
      <c r="F1213" s="16" t="s">
        <v>178</v>
      </c>
      <c r="G1213" s="113">
        <f>G1205+G1211</f>
        <v>11.115499999999999</v>
      </c>
    </row>
    <row r="1214" spans="1:8" s="137" customFormat="1" x14ac:dyDescent="0.25">
      <c r="A1214" s="161"/>
      <c r="B1214" s="30" t="s">
        <v>630</v>
      </c>
      <c r="C1214" s="51" t="s">
        <v>809</v>
      </c>
      <c r="D1214" s="32"/>
      <c r="E1214" s="69" t="s">
        <v>193</v>
      </c>
      <c r="F1214" s="33" t="s">
        <v>192</v>
      </c>
      <c r="G1214" s="34" t="s">
        <v>191</v>
      </c>
      <c r="H1214" s="180"/>
    </row>
    <row r="1215" spans="1:8" s="137" customFormat="1" x14ac:dyDescent="0.25">
      <c r="A1215" s="161"/>
      <c r="B1215" s="35" t="s">
        <v>0</v>
      </c>
      <c r="C1215" s="20" t="s">
        <v>1</v>
      </c>
      <c r="D1215" s="20" t="s">
        <v>190</v>
      </c>
      <c r="E1215" s="59" t="s">
        <v>189</v>
      </c>
      <c r="F1215" s="18" t="s">
        <v>188</v>
      </c>
      <c r="G1215" s="64" t="s">
        <v>187</v>
      </c>
      <c r="H1215" s="180"/>
    </row>
    <row r="1216" spans="1:8" s="137" customFormat="1" x14ac:dyDescent="0.25">
      <c r="A1216" s="161"/>
      <c r="B1216" s="358" t="s">
        <v>186</v>
      </c>
      <c r="C1216" s="359"/>
      <c r="D1216" s="216"/>
      <c r="E1216" s="26"/>
      <c r="F1216" s="36"/>
      <c r="G1216" s="37"/>
      <c r="H1216" s="180"/>
    </row>
    <row r="1217" spans="1:8" s="137" customFormat="1" x14ac:dyDescent="0.25">
      <c r="A1217" s="161"/>
      <c r="B1217" s="50">
        <v>88247</v>
      </c>
      <c r="C1217" s="17" t="s">
        <v>197</v>
      </c>
      <c r="D1217" s="216" t="s">
        <v>184</v>
      </c>
      <c r="E1217" s="71">
        <v>6.9000000000000006E-2</v>
      </c>
      <c r="F1217" s="27">
        <v>19.93</v>
      </c>
      <c r="G1217" s="37">
        <f>E1217*F1217</f>
        <v>1.37517</v>
      </c>
      <c r="H1217" s="180"/>
    </row>
    <row r="1218" spans="1:8" s="179" customFormat="1" x14ac:dyDescent="0.25">
      <c r="A1218" s="161"/>
      <c r="B1218" s="50">
        <v>88264</v>
      </c>
      <c r="C1218" s="17" t="s">
        <v>185</v>
      </c>
      <c r="D1218" s="216" t="s">
        <v>184</v>
      </c>
      <c r="E1218" s="41">
        <v>0.16550000000000001</v>
      </c>
      <c r="F1218" s="42">
        <v>25.71</v>
      </c>
      <c r="G1218" s="37">
        <f>E1218*F1218</f>
        <v>4.2550050000000006</v>
      </c>
      <c r="H1218" s="181"/>
    </row>
    <row r="1219" spans="1:8" s="137" customFormat="1" x14ac:dyDescent="0.25">
      <c r="A1219" s="161"/>
      <c r="B1219" s="215"/>
      <c r="C1219" s="25"/>
      <c r="D1219" s="25"/>
      <c r="E1219" s="68"/>
      <c r="F1219" s="39" t="s">
        <v>183</v>
      </c>
      <c r="G1219" s="40">
        <f>SUM(G1217:G1218)</f>
        <v>5.6301750000000004</v>
      </c>
      <c r="H1219" s="180"/>
    </row>
    <row r="1220" spans="1:8" s="137" customFormat="1" x14ac:dyDescent="0.25">
      <c r="A1220" s="161"/>
      <c r="B1220" s="358" t="s">
        <v>182</v>
      </c>
      <c r="C1220" s="359"/>
      <c r="D1220" s="216"/>
      <c r="E1220" s="54"/>
      <c r="F1220" s="36"/>
      <c r="G1220" s="37"/>
      <c r="H1220" s="180"/>
    </row>
    <row r="1221" spans="1:8" s="137" customFormat="1" x14ac:dyDescent="0.25">
      <c r="A1221" s="161"/>
      <c r="B1221" s="215">
        <v>38191</v>
      </c>
      <c r="C1221" s="17" t="s">
        <v>806</v>
      </c>
      <c r="D1221" s="216" t="s">
        <v>180</v>
      </c>
      <c r="E1221" s="54">
        <f>1/3</f>
        <v>0.33333333333333331</v>
      </c>
      <c r="F1221" s="42">
        <v>13.86</v>
      </c>
      <c r="G1221" s="37">
        <f>E1221*F1221</f>
        <v>4.6199999999999992</v>
      </c>
      <c r="H1221" s="180"/>
    </row>
    <row r="1222" spans="1:8" s="137" customFormat="1" x14ac:dyDescent="0.25">
      <c r="A1222" s="161"/>
      <c r="B1222" s="50">
        <v>39381</v>
      </c>
      <c r="C1222" s="17" t="s">
        <v>807</v>
      </c>
      <c r="D1222" s="216" t="s">
        <v>180</v>
      </c>
      <c r="E1222" s="54">
        <f t="shared" ref="E1222:E1223" si="17">1/3</f>
        <v>0.33333333333333331</v>
      </c>
      <c r="F1222" s="42">
        <v>12.93</v>
      </c>
      <c r="G1222" s="37">
        <f>E1222*F1222</f>
        <v>4.3099999999999996</v>
      </c>
      <c r="H1222" s="180"/>
    </row>
    <row r="1223" spans="1:8" s="137" customFormat="1" x14ac:dyDescent="0.25">
      <c r="A1223" s="161"/>
      <c r="B1223" s="215">
        <v>38780</v>
      </c>
      <c r="C1223" s="17" t="s">
        <v>808</v>
      </c>
      <c r="D1223" s="216" t="s">
        <v>180</v>
      </c>
      <c r="E1223" s="54">
        <f t="shared" si="17"/>
        <v>0.33333333333333331</v>
      </c>
      <c r="F1223" s="42">
        <v>15.82</v>
      </c>
      <c r="G1223" s="37">
        <f>E1223*F1223</f>
        <v>5.2733333333333334</v>
      </c>
      <c r="H1223" s="180"/>
    </row>
    <row r="1224" spans="1:8" s="137" customFormat="1" x14ac:dyDescent="0.25">
      <c r="A1224" s="161"/>
      <c r="B1224" s="215"/>
      <c r="C1224" s="25"/>
      <c r="D1224" s="25"/>
      <c r="E1224" s="26"/>
      <c r="F1224" s="27" t="s">
        <v>179</v>
      </c>
      <c r="G1224" s="40">
        <f>SUM(G1221:G1223)</f>
        <v>14.203333333333333</v>
      </c>
      <c r="H1224" s="180"/>
    </row>
    <row r="1225" spans="1:8" s="137" customFormat="1" ht="15.75" thickBot="1" x14ac:dyDescent="0.3">
      <c r="A1225" s="161"/>
      <c r="B1225" s="215"/>
      <c r="C1225" s="17"/>
      <c r="D1225" s="25"/>
      <c r="E1225" s="26"/>
      <c r="F1225" s="16"/>
      <c r="G1225" s="43"/>
      <c r="H1225" s="180"/>
    </row>
    <row r="1226" spans="1:8" s="137" customFormat="1" ht="15.75" thickBot="1" x14ac:dyDescent="0.3">
      <c r="A1226" s="161"/>
      <c r="B1226" s="44" t="s">
        <v>240</v>
      </c>
      <c r="C1226" s="45" t="s">
        <v>627</v>
      </c>
      <c r="D1226" s="46"/>
      <c r="E1226" s="47"/>
      <c r="F1226" s="16" t="s">
        <v>178</v>
      </c>
      <c r="G1226" s="113">
        <f>G1219+G1224</f>
        <v>19.833508333333334</v>
      </c>
      <c r="H1226" s="180"/>
    </row>
    <row r="1227" spans="1:8" s="137" customFormat="1" x14ac:dyDescent="0.25">
      <c r="A1227" s="161"/>
      <c r="B1227" s="30" t="s">
        <v>795</v>
      </c>
      <c r="C1227" s="51" t="s">
        <v>810</v>
      </c>
      <c r="D1227" s="32"/>
      <c r="E1227" s="69" t="s">
        <v>193</v>
      </c>
      <c r="F1227" s="33" t="s">
        <v>192</v>
      </c>
      <c r="G1227" s="34" t="s">
        <v>191</v>
      </c>
      <c r="H1227" s="180"/>
    </row>
    <row r="1228" spans="1:8" s="137" customFormat="1" x14ac:dyDescent="0.25">
      <c r="A1228" s="161"/>
      <c r="B1228" s="35" t="s">
        <v>0</v>
      </c>
      <c r="C1228" s="20" t="s">
        <v>1</v>
      </c>
      <c r="D1228" s="20" t="s">
        <v>190</v>
      </c>
      <c r="E1228" s="59" t="s">
        <v>189</v>
      </c>
      <c r="F1228" s="18" t="s">
        <v>188</v>
      </c>
      <c r="G1228" s="64" t="s">
        <v>187</v>
      </c>
      <c r="H1228" s="180"/>
    </row>
    <row r="1229" spans="1:8" s="137" customFormat="1" x14ac:dyDescent="0.25">
      <c r="A1229" s="161"/>
      <c r="B1229" s="358" t="s">
        <v>186</v>
      </c>
      <c r="C1229" s="359"/>
      <c r="D1229" s="216"/>
      <c r="E1229" s="26"/>
      <c r="F1229" s="36"/>
      <c r="G1229" s="37"/>
      <c r="H1229" s="180"/>
    </row>
    <row r="1230" spans="1:8" s="137" customFormat="1" x14ac:dyDescent="0.25">
      <c r="A1230" s="161"/>
      <c r="B1230" s="50">
        <v>88247</v>
      </c>
      <c r="C1230" s="17" t="s">
        <v>197</v>
      </c>
      <c r="D1230" s="216" t="s">
        <v>184</v>
      </c>
      <c r="E1230" s="71">
        <v>0.1</v>
      </c>
      <c r="F1230" s="27">
        <v>19.93</v>
      </c>
      <c r="G1230" s="37">
        <f>E1230*F1230</f>
        <v>1.9930000000000001</v>
      </c>
      <c r="H1230" s="180"/>
    </row>
    <row r="1231" spans="1:8" s="137" customFormat="1" x14ac:dyDescent="0.25">
      <c r="A1231" s="161"/>
      <c r="B1231" s="215"/>
      <c r="C1231" s="25"/>
      <c r="D1231" s="25"/>
      <c r="E1231" s="68"/>
      <c r="F1231" s="39" t="s">
        <v>183</v>
      </c>
      <c r="G1231" s="40">
        <f>SUM(G1230)</f>
        <v>1.9930000000000001</v>
      </c>
      <c r="H1231" s="180"/>
    </row>
    <row r="1232" spans="1:8" s="137" customFormat="1" x14ac:dyDescent="0.25">
      <c r="A1232" s="161"/>
      <c r="B1232" s="358" t="s">
        <v>182</v>
      </c>
      <c r="C1232" s="359"/>
      <c r="D1232" s="216"/>
      <c r="E1232" s="54"/>
      <c r="F1232" s="36"/>
      <c r="G1232" s="37"/>
      <c r="H1232" s="180"/>
    </row>
    <row r="1233" spans="1:8" s="137" customFormat="1" x14ac:dyDescent="0.25">
      <c r="A1233" s="161"/>
      <c r="B1233" s="50">
        <v>38781</v>
      </c>
      <c r="C1233" s="17" t="s">
        <v>811</v>
      </c>
      <c r="D1233" s="216" t="s">
        <v>180</v>
      </c>
      <c r="E1233" s="71">
        <f>1/2</f>
        <v>0.5</v>
      </c>
      <c r="F1233" s="42">
        <v>53.4</v>
      </c>
      <c r="G1233" s="37">
        <f>E1233*F1233</f>
        <v>26.7</v>
      </c>
      <c r="H1233" s="180"/>
    </row>
    <row r="1234" spans="1:8" s="137" customFormat="1" x14ac:dyDescent="0.25">
      <c r="A1234" s="161"/>
      <c r="B1234" s="50">
        <v>38192</v>
      </c>
      <c r="C1234" s="17" t="s">
        <v>812</v>
      </c>
      <c r="D1234" s="216" t="s">
        <v>180</v>
      </c>
      <c r="E1234" s="71">
        <f>1/2</f>
        <v>0.5</v>
      </c>
      <c r="F1234" s="42">
        <v>96.62</v>
      </c>
      <c r="G1234" s="37">
        <f>E1234*F1234</f>
        <v>48.31</v>
      </c>
      <c r="H1234" s="180"/>
    </row>
    <row r="1235" spans="1:8" s="137" customFormat="1" x14ac:dyDescent="0.25">
      <c r="A1235" s="161"/>
      <c r="B1235" s="215"/>
      <c r="C1235" s="25"/>
      <c r="D1235" s="25"/>
      <c r="E1235" s="26"/>
      <c r="F1235" s="27" t="s">
        <v>179</v>
      </c>
      <c r="G1235" s="40">
        <f>SUM(G1233:G1234)</f>
        <v>75.010000000000005</v>
      </c>
      <c r="H1235" s="180"/>
    </row>
    <row r="1236" spans="1:8" s="137" customFormat="1" ht="15.75" thickBot="1" x14ac:dyDescent="0.3">
      <c r="A1236" s="161"/>
      <c r="B1236" s="215"/>
      <c r="C1236" s="17"/>
      <c r="D1236" s="25"/>
      <c r="E1236" s="26"/>
      <c r="F1236" s="16"/>
      <c r="G1236" s="43"/>
      <c r="H1236" s="180"/>
    </row>
    <row r="1237" spans="1:8" s="137" customFormat="1" ht="15.75" thickBot="1" x14ac:dyDescent="0.3">
      <c r="A1237" s="161"/>
      <c r="B1237" s="44" t="s">
        <v>240</v>
      </c>
      <c r="C1237" s="45" t="s">
        <v>842</v>
      </c>
      <c r="D1237" s="46"/>
      <c r="E1237" s="47"/>
      <c r="F1237" s="16" t="s">
        <v>178</v>
      </c>
      <c r="G1237" s="113">
        <f>G1231+G1235</f>
        <v>77.003</v>
      </c>
      <c r="H1237" s="180"/>
    </row>
    <row r="1238" spans="1:8" s="161" customFormat="1" x14ac:dyDescent="0.25">
      <c r="B1238" s="241" t="s">
        <v>796</v>
      </c>
      <c r="C1238" s="31" t="s">
        <v>815</v>
      </c>
      <c r="D1238" s="242"/>
      <c r="E1238" s="69" t="s">
        <v>193</v>
      </c>
      <c r="F1238" s="243" t="s">
        <v>192</v>
      </c>
      <c r="G1238" s="178" t="s">
        <v>191</v>
      </c>
      <c r="H1238" s="180"/>
    </row>
    <row r="1239" spans="1:8" s="137" customFormat="1" x14ac:dyDescent="0.25">
      <c r="A1239" s="161"/>
      <c r="B1239" s="35" t="s">
        <v>0</v>
      </c>
      <c r="C1239" s="20" t="s">
        <v>1</v>
      </c>
      <c r="D1239" s="20" t="s">
        <v>190</v>
      </c>
      <c r="E1239" s="59" t="s">
        <v>189</v>
      </c>
      <c r="F1239" s="18" t="s">
        <v>188</v>
      </c>
      <c r="G1239" s="64" t="s">
        <v>187</v>
      </c>
      <c r="H1239" s="180"/>
    </row>
    <row r="1240" spans="1:8" s="137" customFormat="1" x14ac:dyDescent="0.25">
      <c r="A1240" s="161"/>
      <c r="B1240" s="358" t="s">
        <v>186</v>
      </c>
      <c r="C1240" s="359"/>
      <c r="D1240" s="216"/>
      <c r="E1240" s="26"/>
      <c r="F1240" s="36"/>
      <c r="G1240" s="37"/>
      <c r="H1240" s="180"/>
    </row>
    <row r="1241" spans="1:8" s="137" customFormat="1" x14ac:dyDescent="0.25">
      <c r="A1241" s="161"/>
      <c r="B1241" s="50">
        <v>88247</v>
      </c>
      <c r="C1241" s="17" t="s">
        <v>197</v>
      </c>
      <c r="D1241" s="216" t="s">
        <v>184</v>
      </c>
      <c r="E1241" s="71">
        <v>0.1</v>
      </c>
      <c r="F1241" s="27">
        <v>19.93</v>
      </c>
      <c r="G1241" s="37">
        <f>E1241*F1241</f>
        <v>1.9930000000000001</v>
      </c>
      <c r="H1241" s="180"/>
    </row>
    <row r="1242" spans="1:8" s="137" customFormat="1" x14ac:dyDescent="0.25">
      <c r="A1242" s="161"/>
      <c r="B1242" s="215"/>
      <c r="C1242" s="25"/>
      <c r="D1242" s="25"/>
      <c r="E1242" s="68"/>
      <c r="F1242" s="39" t="s">
        <v>183</v>
      </c>
      <c r="G1242" s="40">
        <f>SUM(G1241)</f>
        <v>1.9930000000000001</v>
      </c>
      <c r="H1242" s="180"/>
    </row>
    <row r="1243" spans="1:8" s="137" customFormat="1" x14ac:dyDescent="0.25">
      <c r="A1243" s="161"/>
      <c r="B1243" s="358" t="s">
        <v>182</v>
      </c>
      <c r="C1243" s="359"/>
      <c r="D1243" s="216"/>
      <c r="E1243" s="54"/>
      <c r="F1243" s="36"/>
      <c r="G1243" s="37"/>
      <c r="H1243" s="180"/>
    </row>
    <row r="1244" spans="1:8" s="137" customFormat="1" x14ac:dyDescent="0.25">
      <c r="A1244" s="161"/>
      <c r="B1244" s="50">
        <v>39387</v>
      </c>
      <c r="C1244" s="17" t="s">
        <v>814</v>
      </c>
      <c r="D1244" s="216" t="s">
        <v>180</v>
      </c>
      <c r="E1244" s="71">
        <f>1/2</f>
        <v>0.5</v>
      </c>
      <c r="F1244" s="42">
        <v>72</v>
      </c>
      <c r="G1244" s="37">
        <f>E1244*F1244</f>
        <v>36</v>
      </c>
      <c r="H1244" s="180"/>
    </row>
    <row r="1245" spans="1:8" s="137" customFormat="1" x14ac:dyDescent="0.25">
      <c r="A1245" s="161"/>
      <c r="B1245" s="50">
        <v>39386</v>
      </c>
      <c r="C1245" s="17" t="s">
        <v>813</v>
      </c>
      <c r="D1245" s="216" t="s">
        <v>180</v>
      </c>
      <c r="E1245" s="71">
        <f>1/2</f>
        <v>0.5</v>
      </c>
      <c r="F1245" s="42">
        <v>47.62</v>
      </c>
      <c r="G1245" s="37">
        <f>E1245*F1245</f>
        <v>23.81</v>
      </c>
      <c r="H1245" s="180"/>
    </row>
    <row r="1246" spans="1:8" s="137" customFormat="1" x14ac:dyDescent="0.25">
      <c r="A1246" s="161"/>
      <c r="B1246" s="215"/>
      <c r="C1246" s="25"/>
      <c r="D1246" s="25"/>
      <c r="E1246" s="26"/>
      <c r="F1246" s="27" t="s">
        <v>179</v>
      </c>
      <c r="G1246" s="40">
        <f>SUM(G1244:G1245)</f>
        <v>59.81</v>
      </c>
      <c r="H1246" s="180"/>
    </row>
    <row r="1247" spans="1:8" s="137" customFormat="1" ht="15.75" thickBot="1" x14ac:dyDescent="0.3">
      <c r="A1247" s="161"/>
      <c r="B1247" s="215"/>
      <c r="C1247" s="17"/>
      <c r="D1247" s="25"/>
      <c r="E1247" s="26"/>
      <c r="F1247" s="16"/>
      <c r="G1247" s="43"/>
      <c r="H1247" s="180"/>
    </row>
    <row r="1248" spans="1:8" s="137" customFormat="1" ht="15.75" thickBot="1" x14ac:dyDescent="0.3">
      <c r="A1248" s="161"/>
      <c r="B1248" s="44" t="s">
        <v>240</v>
      </c>
      <c r="C1248" s="45" t="s">
        <v>839</v>
      </c>
      <c r="D1248" s="46"/>
      <c r="E1248" s="47"/>
      <c r="F1248" s="16" t="s">
        <v>178</v>
      </c>
      <c r="G1248" s="113">
        <f>G1242+G1246</f>
        <v>61.803000000000004</v>
      </c>
      <c r="H1248" s="180"/>
    </row>
    <row r="1249" spans="1:8" s="137" customFormat="1" x14ac:dyDescent="0.25">
      <c r="A1249" s="161"/>
      <c r="B1249" s="30" t="s">
        <v>797</v>
      </c>
      <c r="C1249" s="51" t="s">
        <v>818</v>
      </c>
      <c r="D1249" s="32"/>
      <c r="E1249" s="69" t="s">
        <v>193</v>
      </c>
      <c r="F1249" s="33" t="s">
        <v>192</v>
      </c>
      <c r="G1249" s="34" t="s">
        <v>191</v>
      </c>
      <c r="H1249" s="180"/>
    </row>
    <row r="1250" spans="1:8" s="137" customFormat="1" x14ac:dyDescent="0.25">
      <c r="A1250" s="161"/>
      <c r="B1250" s="35" t="s">
        <v>0</v>
      </c>
      <c r="C1250" s="20" t="s">
        <v>1</v>
      </c>
      <c r="D1250" s="20" t="s">
        <v>190</v>
      </c>
      <c r="E1250" s="59" t="s">
        <v>189</v>
      </c>
      <c r="F1250" s="18" t="s">
        <v>188</v>
      </c>
      <c r="G1250" s="64" t="s">
        <v>187</v>
      </c>
      <c r="H1250" s="180"/>
    </row>
    <row r="1251" spans="1:8" s="137" customFormat="1" x14ac:dyDescent="0.25">
      <c r="A1251" s="161"/>
      <c r="B1251" s="358" t="s">
        <v>186</v>
      </c>
      <c r="C1251" s="359"/>
      <c r="D1251" s="216"/>
      <c r="E1251" s="26"/>
      <c r="F1251" s="36"/>
      <c r="G1251" s="37"/>
      <c r="H1251" s="180"/>
    </row>
    <row r="1252" spans="1:8" s="137" customFormat="1" x14ac:dyDescent="0.25">
      <c r="A1252" s="161"/>
      <c r="B1252" s="50">
        <v>88247</v>
      </c>
      <c r="C1252" s="17" t="s">
        <v>197</v>
      </c>
      <c r="D1252" s="216" t="s">
        <v>184</v>
      </c>
      <c r="E1252" s="71">
        <v>0.1</v>
      </c>
      <c r="F1252" s="27">
        <v>19.93</v>
      </c>
      <c r="G1252" s="37">
        <f>E1252*F1252</f>
        <v>1.9930000000000001</v>
      </c>
      <c r="H1252" s="180"/>
    </row>
    <row r="1253" spans="1:8" s="137" customFormat="1" x14ac:dyDescent="0.25">
      <c r="A1253" s="161"/>
      <c r="B1253" s="215"/>
      <c r="C1253" s="25"/>
      <c r="D1253" s="25"/>
      <c r="E1253" s="68"/>
      <c r="F1253" s="39" t="s">
        <v>183</v>
      </c>
      <c r="G1253" s="40">
        <f>SUM(G1252)</f>
        <v>1.9930000000000001</v>
      </c>
      <c r="H1253" s="180"/>
    </row>
    <row r="1254" spans="1:8" s="137" customFormat="1" x14ac:dyDescent="0.25">
      <c r="A1254" s="161"/>
      <c r="B1254" s="358" t="s">
        <v>182</v>
      </c>
      <c r="C1254" s="359"/>
      <c r="D1254" s="216"/>
      <c r="E1254" s="54"/>
      <c r="F1254" s="36"/>
      <c r="G1254" s="37"/>
      <c r="H1254" s="180"/>
    </row>
    <row r="1255" spans="1:8" s="137" customFormat="1" x14ac:dyDescent="0.25">
      <c r="A1255" s="161"/>
      <c r="B1255" s="50">
        <v>38194</v>
      </c>
      <c r="C1255" s="17" t="s">
        <v>816</v>
      </c>
      <c r="D1255" s="216" t="s">
        <v>180</v>
      </c>
      <c r="E1255" s="71">
        <f>1/2</f>
        <v>0.5</v>
      </c>
      <c r="F1255" s="42">
        <v>40.590000000000003</v>
      </c>
      <c r="G1255" s="37">
        <f>E1255*F1255</f>
        <v>20.295000000000002</v>
      </c>
      <c r="H1255" s="180"/>
    </row>
    <row r="1256" spans="1:8" s="137" customFormat="1" x14ac:dyDescent="0.25">
      <c r="A1256" s="161"/>
      <c r="B1256" s="50">
        <v>38193</v>
      </c>
      <c r="C1256" s="17" t="s">
        <v>817</v>
      </c>
      <c r="D1256" s="216" t="s">
        <v>180</v>
      </c>
      <c r="E1256" s="71">
        <f>1/2</f>
        <v>0.5</v>
      </c>
      <c r="F1256" s="42">
        <v>30.02</v>
      </c>
      <c r="G1256" s="37">
        <f>E1256*F1256</f>
        <v>15.01</v>
      </c>
      <c r="H1256" s="180"/>
    </row>
    <row r="1257" spans="1:8" s="137" customFormat="1" x14ac:dyDescent="0.25">
      <c r="A1257" s="161"/>
      <c r="B1257" s="215"/>
      <c r="C1257" s="25"/>
      <c r="D1257" s="25"/>
      <c r="E1257" s="26"/>
      <c r="F1257" s="27" t="s">
        <v>179</v>
      </c>
      <c r="G1257" s="40">
        <f>SUM(G1255:G1256)</f>
        <v>35.305</v>
      </c>
      <c r="H1257" s="180"/>
    </row>
    <row r="1258" spans="1:8" s="137" customFormat="1" ht="15.75" thickBot="1" x14ac:dyDescent="0.3">
      <c r="A1258" s="161"/>
      <c r="B1258" s="215"/>
      <c r="C1258" s="17"/>
      <c r="D1258" s="25"/>
      <c r="E1258" s="26"/>
      <c r="F1258" s="16"/>
      <c r="G1258" s="43"/>
      <c r="H1258" s="180"/>
    </row>
    <row r="1259" spans="1:8" s="137" customFormat="1" ht="15.75" thickBot="1" x14ac:dyDescent="0.3">
      <c r="A1259" s="161"/>
      <c r="B1259" s="44" t="s">
        <v>240</v>
      </c>
      <c r="C1259" s="45" t="s">
        <v>840</v>
      </c>
      <c r="D1259" s="46"/>
      <c r="E1259" s="47"/>
      <c r="F1259" s="16" t="s">
        <v>178</v>
      </c>
      <c r="G1259" s="113">
        <f>G1253+G1257</f>
        <v>37.298000000000002</v>
      </c>
      <c r="H1259" s="180"/>
    </row>
    <row r="1260" spans="1:8" s="137" customFormat="1" x14ac:dyDescent="0.25">
      <c r="A1260" s="161"/>
      <c r="B1260" s="30" t="s">
        <v>798</v>
      </c>
      <c r="C1260" s="51" t="s">
        <v>819</v>
      </c>
      <c r="D1260" s="32"/>
      <c r="E1260" s="69" t="s">
        <v>193</v>
      </c>
      <c r="F1260" s="33" t="s">
        <v>192</v>
      </c>
      <c r="G1260" s="34" t="s">
        <v>191</v>
      </c>
      <c r="H1260" s="180"/>
    </row>
    <row r="1261" spans="1:8" s="137" customFormat="1" x14ac:dyDescent="0.25">
      <c r="A1261" s="161"/>
      <c r="B1261" s="35" t="s">
        <v>0</v>
      </c>
      <c r="C1261" s="20" t="s">
        <v>1</v>
      </c>
      <c r="D1261" s="20" t="s">
        <v>190</v>
      </c>
      <c r="E1261" s="59" t="s">
        <v>189</v>
      </c>
      <c r="F1261" s="18" t="s">
        <v>188</v>
      </c>
      <c r="G1261" s="64" t="s">
        <v>187</v>
      </c>
      <c r="H1261" s="180"/>
    </row>
    <row r="1262" spans="1:8" s="137" customFormat="1" x14ac:dyDescent="0.25">
      <c r="A1262" s="161"/>
      <c r="B1262" s="358" t="s">
        <v>186</v>
      </c>
      <c r="C1262" s="359"/>
      <c r="D1262" s="216"/>
      <c r="E1262" s="26"/>
      <c r="F1262" s="36"/>
      <c r="G1262" s="37"/>
      <c r="H1262" s="180"/>
    </row>
    <row r="1263" spans="1:8" s="137" customFormat="1" x14ac:dyDescent="0.25">
      <c r="A1263" s="161"/>
      <c r="B1263" s="50">
        <v>88247</v>
      </c>
      <c r="C1263" s="17" t="s">
        <v>197</v>
      </c>
      <c r="D1263" s="216" t="s">
        <v>184</v>
      </c>
      <c r="E1263" s="71">
        <v>0.3</v>
      </c>
      <c r="F1263" s="27">
        <v>19.93</v>
      </c>
      <c r="G1263" s="37">
        <f>E1263*F1263</f>
        <v>5.9790000000000001</v>
      </c>
      <c r="H1263" s="180"/>
    </row>
    <row r="1264" spans="1:8" s="137" customFormat="1" x14ac:dyDescent="0.25">
      <c r="A1264" s="161"/>
      <c r="B1264" s="50">
        <v>88264</v>
      </c>
      <c r="C1264" s="17" t="s">
        <v>185</v>
      </c>
      <c r="D1264" s="216" t="s">
        <v>184</v>
      </c>
      <c r="E1264" s="41">
        <v>0.3</v>
      </c>
      <c r="F1264" s="42">
        <v>25.71</v>
      </c>
      <c r="G1264" s="37">
        <f>E1264*F1264</f>
        <v>7.7130000000000001</v>
      </c>
      <c r="H1264" s="181"/>
    </row>
    <row r="1265" spans="1:8" s="137" customFormat="1" x14ac:dyDescent="0.25">
      <c r="A1265" s="161"/>
      <c r="B1265" s="215"/>
      <c r="C1265" s="25"/>
      <c r="D1265" s="25"/>
      <c r="E1265" s="68"/>
      <c r="F1265" s="39" t="s">
        <v>183</v>
      </c>
      <c r="G1265" s="40">
        <f>SUM(G1263:G1264)</f>
        <v>13.692</v>
      </c>
      <c r="H1265" s="180"/>
    </row>
    <row r="1266" spans="1:8" s="137" customFormat="1" x14ac:dyDescent="0.25">
      <c r="A1266" s="161"/>
      <c r="B1266" s="358" t="s">
        <v>182</v>
      </c>
      <c r="C1266" s="359"/>
      <c r="D1266" s="216"/>
      <c r="E1266" s="54"/>
      <c r="F1266" s="36"/>
      <c r="G1266" s="37"/>
      <c r="H1266" s="180"/>
    </row>
    <row r="1267" spans="1:8" s="137" customFormat="1" x14ac:dyDescent="0.25">
      <c r="A1267" s="161"/>
      <c r="B1267" s="50">
        <v>12216</v>
      </c>
      <c r="C1267" s="17" t="s">
        <v>820</v>
      </c>
      <c r="D1267" s="216" t="s">
        <v>180</v>
      </c>
      <c r="E1267" s="71">
        <f>1/8</f>
        <v>0.125</v>
      </c>
      <c r="F1267" s="42">
        <v>48.32</v>
      </c>
      <c r="G1267" s="37">
        <f>E1267*F1267</f>
        <v>6.04</v>
      </c>
      <c r="H1267" s="180"/>
    </row>
    <row r="1268" spans="1:8" s="137" customFormat="1" x14ac:dyDescent="0.25">
      <c r="A1268" s="161"/>
      <c r="B1268" s="50">
        <v>3757</v>
      </c>
      <c r="C1268" s="17" t="s">
        <v>827</v>
      </c>
      <c r="D1268" s="216" t="s">
        <v>180</v>
      </c>
      <c r="E1268" s="71">
        <f t="shared" ref="E1268:E1274" si="18">1/8</f>
        <v>0.125</v>
      </c>
      <c r="F1268" s="42">
        <v>55.87</v>
      </c>
      <c r="G1268" s="37">
        <f t="shared" ref="G1268:G1273" si="19">E1268*F1268</f>
        <v>6.9837499999999997</v>
      </c>
      <c r="H1268" s="180"/>
    </row>
    <row r="1269" spans="1:8" s="137" customFormat="1" x14ac:dyDescent="0.25">
      <c r="A1269" s="161"/>
      <c r="B1269" s="50">
        <v>3758</v>
      </c>
      <c r="C1269" s="17" t="s">
        <v>821</v>
      </c>
      <c r="D1269" s="216" t="s">
        <v>180</v>
      </c>
      <c r="E1269" s="71">
        <f t="shared" si="18"/>
        <v>0.125</v>
      </c>
      <c r="F1269" s="42">
        <v>65.150000000000006</v>
      </c>
      <c r="G1269" s="37">
        <f t="shared" si="19"/>
        <v>8.1437500000000007</v>
      </c>
      <c r="H1269" s="180"/>
    </row>
    <row r="1270" spans="1:8" s="137" customFormat="1" x14ac:dyDescent="0.25">
      <c r="A1270" s="161"/>
      <c r="B1270" s="50">
        <v>12214</v>
      </c>
      <c r="C1270" s="17" t="s">
        <v>822</v>
      </c>
      <c r="D1270" s="216" t="s">
        <v>180</v>
      </c>
      <c r="E1270" s="71">
        <f t="shared" si="18"/>
        <v>0.125</v>
      </c>
      <c r="F1270" s="42">
        <v>22.31</v>
      </c>
      <c r="G1270" s="37">
        <f t="shared" si="19"/>
        <v>2.7887499999999998</v>
      </c>
      <c r="H1270" s="180"/>
    </row>
    <row r="1271" spans="1:8" s="137" customFormat="1" x14ac:dyDescent="0.25">
      <c r="A1271" s="161"/>
      <c r="B1271" s="50">
        <v>3749</v>
      </c>
      <c r="C1271" s="17" t="s">
        <v>823</v>
      </c>
      <c r="D1271" s="216" t="s">
        <v>180</v>
      </c>
      <c r="E1271" s="71">
        <f t="shared" si="18"/>
        <v>0.125</v>
      </c>
      <c r="F1271" s="42">
        <v>39.76</v>
      </c>
      <c r="G1271" s="37">
        <f t="shared" si="19"/>
        <v>4.97</v>
      </c>
      <c r="H1271" s="180"/>
    </row>
    <row r="1272" spans="1:8" s="137" customFormat="1" x14ac:dyDescent="0.25">
      <c r="A1272" s="161"/>
      <c r="B1272" s="50">
        <v>3751</v>
      </c>
      <c r="C1272" s="17" t="s">
        <v>824</v>
      </c>
      <c r="D1272" s="216" t="s">
        <v>180</v>
      </c>
      <c r="E1272" s="71">
        <f t="shared" si="18"/>
        <v>0.125</v>
      </c>
      <c r="F1272" s="42">
        <v>54.26</v>
      </c>
      <c r="G1272" s="37">
        <f t="shared" si="19"/>
        <v>6.7824999999999998</v>
      </c>
      <c r="H1272" s="180"/>
    </row>
    <row r="1273" spans="1:8" s="137" customFormat="1" x14ac:dyDescent="0.25">
      <c r="A1273" s="161"/>
      <c r="B1273" s="50">
        <v>39376</v>
      </c>
      <c r="C1273" s="17" t="s">
        <v>825</v>
      </c>
      <c r="D1273" s="216" t="s">
        <v>180</v>
      </c>
      <c r="E1273" s="71">
        <f t="shared" si="18"/>
        <v>0.125</v>
      </c>
      <c r="F1273" s="42">
        <v>45.74</v>
      </c>
      <c r="G1273" s="37">
        <f t="shared" si="19"/>
        <v>5.7175000000000002</v>
      </c>
      <c r="H1273" s="180"/>
    </row>
    <row r="1274" spans="1:8" s="137" customFormat="1" x14ac:dyDescent="0.25">
      <c r="A1274" s="161"/>
      <c r="B1274" s="215">
        <v>3752</v>
      </c>
      <c r="C1274" s="17" t="s">
        <v>826</v>
      </c>
      <c r="D1274" s="216" t="s">
        <v>180</v>
      </c>
      <c r="E1274" s="71">
        <f t="shared" si="18"/>
        <v>0.125</v>
      </c>
      <c r="F1274" s="42">
        <v>89.51</v>
      </c>
      <c r="G1274" s="37">
        <f t="shared" ref="G1274" si="20">E1274*F1274</f>
        <v>11.188750000000001</v>
      </c>
      <c r="H1274" s="180"/>
    </row>
    <row r="1275" spans="1:8" s="137" customFormat="1" x14ac:dyDescent="0.25">
      <c r="A1275" s="161"/>
      <c r="B1275" s="215"/>
      <c r="C1275" s="17"/>
      <c r="D1275" s="25"/>
      <c r="E1275" s="26"/>
      <c r="F1275" s="27" t="s">
        <v>179</v>
      </c>
      <c r="G1275" s="40">
        <f>SUM(G1267:G1274)</f>
        <v>52.615000000000002</v>
      </c>
      <c r="H1275" s="180"/>
    </row>
    <row r="1276" spans="1:8" s="137" customFormat="1" ht="15.75" thickBot="1" x14ac:dyDescent="0.3">
      <c r="A1276" s="161"/>
      <c r="B1276" s="215"/>
      <c r="C1276" s="17"/>
      <c r="D1276" s="25"/>
      <c r="E1276" s="26"/>
      <c r="F1276" s="16"/>
      <c r="G1276" s="43"/>
      <c r="H1276" s="180"/>
    </row>
    <row r="1277" spans="1:8" s="137" customFormat="1" ht="15.75" thickBot="1" x14ac:dyDescent="0.3">
      <c r="A1277" s="161"/>
      <c r="B1277" s="44" t="s">
        <v>240</v>
      </c>
      <c r="C1277" s="45" t="s">
        <v>841</v>
      </c>
      <c r="D1277" s="46"/>
      <c r="E1277" s="47"/>
      <c r="F1277" s="16" t="s">
        <v>178</v>
      </c>
      <c r="G1277" s="113">
        <f>G1265+G1275</f>
        <v>66.307000000000002</v>
      </c>
      <c r="H1277" s="180"/>
    </row>
    <row r="1278" spans="1:8" s="137" customFormat="1" x14ac:dyDescent="0.25">
      <c r="A1278" s="161"/>
      <c r="B1278" s="30" t="s">
        <v>799</v>
      </c>
      <c r="C1278" s="51" t="s">
        <v>828</v>
      </c>
      <c r="D1278" s="32"/>
      <c r="E1278" s="69" t="s">
        <v>193</v>
      </c>
      <c r="F1278" s="33" t="s">
        <v>192</v>
      </c>
      <c r="G1278" s="34" t="s">
        <v>191</v>
      </c>
      <c r="H1278" s="180"/>
    </row>
    <row r="1279" spans="1:8" s="137" customFormat="1" x14ac:dyDescent="0.25">
      <c r="A1279" s="161"/>
      <c r="B1279" s="35" t="s">
        <v>0</v>
      </c>
      <c r="C1279" s="20" t="s">
        <v>1</v>
      </c>
      <c r="D1279" s="20" t="s">
        <v>190</v>
      </c>
      <c r="E1279" s="59" t="s">
        <v>189</v>
      </c>
      <c r="F1279" s="18" t="s">
        <v>188</v>
      </c>
      <c r="G1279" s="64" t="s">
        <v>187</v>
      </c>
      <c r="H1279" s="180"/>
    </row>
    <row r="1280" spans="1:8" s="137" customFormat="1" x14ac:dyDescent="0.25">
      <c r="A1280" s="161"/>
      <c r="B1280" s="358" t="s">
        <v>186</v>
      </c>
      <c r="C1280" s="359"/>
      <c r="D1280" s="216"/>
      <c r="E1280" s="26"/>
      <c r="F1280" s="36"/>
      <c r="G1280" s="37"/>
      <c r="H1280" s="180"/>
    </row>
    <row r="1281" spans="1:8" s="179" customFormat="1" x14ac:dyDescent="0.25">
      <c r="A1281" s="161"/>
      <c r="B1281" s="50">
        <v>88264</v>
      </c>
      <c r="C1281" s="17" t="s">
        <v>185</v>
      </c>
      <c r="D1281" s="216" t="s">
        <v>184</v>
      </c>
      <c r="E1281" s="41">
        <v>0.45</v>
      </c>
      <c r="F1281" s="42">
        <v>25.71</v>
      </c>
      <c r="G1281" s="37">
        <f>E1281*F1281</f>
        <v>11.569500000000001</v>
      </c>
      <c r="H1281" s="181"/>
    </row>
    <row r="1282" spans="1:8" s="137" customFormat="1" x14ac:dyDescent="0.25">
      <c r="A1282" s="161"/>
      <c r="B1282" s="215"/>
      <c r="C1282" s="25"/>
      <c r="D1282" s="25"/>
      <c r="E1282" s="68"/>
      <c r="F1282" s="39" t="s">
        <v>183</v>
      </c>
      <c r="G1282" s="40">
        <f>SUM(G1281)</f>
        <v>11.569500000000001</v>
      </c>
      <c r="H1282" s="180"/>
    </row>
    <row r="1283" spans="1:8" s="137" customFormat="1" x14ac:dyDescent="0.25">
      <c r="A1283" s="161"/>
      <c r="B1283" s="358" t="s">
        <v>182</v>
      </c>
      <c r="C1283" s="359"/>
      <c r="D1283" s="216"/>
      <c r="E1283" s="54"/>
      <c r="F1283" s="36"/>
      <c r="G1283" s="37"/>
      <c r="H1283" s="180"/>
    </row>
    <row r="1284" spans="1:8" s="137" customFormat="1" x14ac:dyDescent="0.25">
      <c r="A1284" s="161"/>
      <c r="B1284" s="50">
        <v>1088</v>
      </c>
      <c r="C1284" s="17" t="s">
        <v>829</v>
      </c>
      <c r="D1284" s="216" t="s">
        <v>180</v>
      </c>
      <c r="E1284" s="71">
        <f>1/2</f>
        <v>0.5</v>
      </c>
      <c r="F1284" s="42">
        <v>13.1</v>
      </c>
      <c r="G1284" s="37">
        <f>E1284*F1284</f>
        <v>6.55</v>
      </c>
      <c r="H1284" s="180"/>
    </row>
    <row r="1285" spans="1:8" s="137" customFormat="1" x14ac:dyDescent="0.25">
      <c r="A1285" s="161"/>
      <c r="B1285" s="50">
        <v>1087</v>
      </c>
      <c r="C1285" s="17" t="s">
        <v>830</v>
      </c>
      <c r="D1285" s="216" t="s">
        <v>180</v>
      </c>
      <c r="E1285" s="71">
        <f>1/2</f>
        <v>0.5</v>
      </c>
      <c r="F1285" s="42">
        <v>16.37</v>
      </c>
      <c r="G1285" s="37">
        <f>E1285*F1285</f>
        <v>8.1850000000000005</v>
      </c>
      <c r="H1285" s="180"/>
    </row>
    <row r="1286" spans="1:8" s="137" customFormat="1" x14ac:dyDescent="0.25">
      <c r="A1286" s="161"/>
      <c r="B1286" s="215"/>
      <c r="C1286" s="25"/>
      <c r="D1286" s="25"/>
      <c r="E1286" s="26"/>
      <c r="F1286" s="27" t="s">
        <v>179</v>
      </c>
      <c r="G1286" s="40">
        <f>SUM(G1284:G1285)</f>
        <v>14.734999999999999</v>
      </c>
      <c r="H1286" s="180"/>
    </row>
    <row r="1287" spans="1:8" s="137" customFormat="1" ht="15.75" thickBot="1" x14ac:dyDescent="0.3">
      <c r="A1287" s="161"/>
      <c r="B1287" s="215"/>
      <c r="C1287" s="17"/>
      <c r="D1287" s="25"/>
      <c r="E1287" s="26"/>
      <c r="F1287" s="16"/>
      <c r="G1287" s="43"/>
      <c r="H1287" s="180"/>
    </row>
    <row r="1288" spans="1:8" s="137" customFormat="1" ht="15.75" thickBot="1" x14ac:dyDescent="0.3">
      <c r="A1288" s="161"/>
      <c r="B1288" s="44" t="s">
        <v>240</v>
      </c>
      <c r="C1288" s="45" t="s">
        <v>843</v>
      </c>
      <c r="D1288" s="46"/>
      <c r="E1288" s="47"/>
      <c r="F1288" s="16" t="s">
        <v>178</v>
      </c>
      <c r="G1288" s="113">
        <f>G1282+G1286</f>
        <v>26.304500000000001</v>
      </c>
      <c r="H1288" s="180"/>
    </row>
    <row r="1289" spans="1:8" s="137" customFormat="1" x14ac:dyDescent="0.25">
      <c r="A1289" s="161"/>
      <c r="B1289" s="30" t="s">
        <v>800</v>
      </c>
      <c r="C1289" s="51" t="s">
        <v>831</v>
      </c>
      <c r="D1289" s="32"/>
      <c r="E1289" s="69" t="s">
        <v>193</v>
      </c>
      <c r="F1289" s="33" t="s">
        <v>192</v>
      </c>
      <c r="G1289" s="34" t="s">
        <v>191</v>
      </c>
      <c r="H1289" s="180"/>
    </row>
    <row r="1290" spans="1:8" s="137" customFormat="1" x14ac:dyDescent="0.25">
      <c r="A1290" s="161"/>
      <c r="B1290" s="35" t="s">
        <v>0</v>
      </c>
      <c r="C1290" s="20" t="s">
        <v>1</v>
      </c>
      <c r="D1290" s="20" t="s">
        <v>190</v>
      </c>
      <c r="E1290" s="59" t="s">
        <v>189</v>
      </c>
      <c r="F1290" s="18" t="s">
        <v>188</v>
      </c>
      <c r="G1290" s="64" t="s">
        <v>187</v>
      </c>
      <c r="H1290" s="180"/>
    </row>
    <row r="1291" spans="1:8" s="137" customFormat="1" x14ac:dyDescent="0.25">
      <c r="A1291" s="161"/>
      <c r="B1291" s="358" t="s">
        <v>186</v>
      </c>
      <c r="C1291" s="359"/>
      <c r="D1291" s="216"/>
      <c r="E1291" s="26"/>
      <c r="F1291" s="36"/>
      <c r="G1291" s="37"/>
      <c r="H1291" s="180"/>
    </row>
    <row r="1292" spans="1:8" s="179" customFormat="1" x14ac:dyDescent="0.25">
      <c r="A1292" s="161"/>
      <c r="B1292" s="50">
        <v>88264</v>
      </c>
      <c r="C1292" s="17" t="s">
        <v>185</v>
      </c>
      <c r="D1292" s="216" t="s">
        <v>184</v>
      </c>
      <c r="E1292" s="41">
        <v>0.45</v>
      </c>
      <c r="F1292" s="42">
        <v>25.71</v>
      </c>
      <c r="G1292" s="37">
        <f>E1292*F1292</f>
        <v>11.569500000000001</v>
      </c>
      <c r="H1292" s="181"/>
    </row>
    <row r="1293" spans="1:8" s="137" customFormat="1" x14ac:dyDescent="0.25">
      <c r="A1293" s="161"/>
      <c r="B1293" s="215"/>
      <c r="C1293" s="25"/>
      <c r="D1293" s="25"/>
      <c r="E1293" s="68"/>
      <c r="F1293" s="39" t="s">
        <v>183</v>
      </c>
      <c r="G1293" s="40">
        <f>SUM(G1292)</f>
        <v>11.569500000000001</v>
      </c>
      <c r="H1293" s="180"/>
    </row>
    <row r="1294" spans="1:8" s="137" customFormat="1" x14ac:dyDescent="0.25">
      <c r="A1294" s="161"/>
      <c r="B1294" s="358" t="s">
        <v>182</v>
      </c>
      <c r="C1294" s="359"/>
      <c r="D1294" s="216"/>
      <c r="E1294" s="54"/>
      <c r="F1294" s="36"/>
      <c r="G1294" s="37"/>
      <c r="H1294" s="180"/>
    </row>
    <row r="1295" spans="1:8" s="137" customFormat="1" x14ac:dyDescent="0.25">
      <c r="A1295" s="161"/>
      <c r="B1295" s="50">
        <v>38777</v>
      </c>
      <c r="C1295" s="17" t="s">
        <v>793</v>
      </c>
      <c r="D1295" s="216" t="s">
        <v>180</v>
      </c>
      <c r="E1295" s="71">
        <f>1/3</f>
        <v>0.33333333333333331</v>
      </c>
      <c r="F1295" s="42">
        <v>32.61</v>
      </c>
      <c r="G1295" s="37">
        <f>E1295*F1295</f>
        <v>10.87</v>
      </c>
      <c r="H1295" s="180"/>
    </row>
    <row r="1296" spans="1:8" s="137" customFormat="1" x14ac:dyDescent="0.25">
      <c r="A1296" s="161"/>
      <c r="B1296" s="50">
        <v>1086</v>
      </c>
      <c r="C1296" s="17" t="s">
        <v>832</v>
      </c>
      <c r="D1296" s="216" t="s">
        <v>180</v>
      </c>
      <c r="E1296" s="71">
        <f>1/3</f>
        <v>0.33333333333333331</v>
      </c>
      <c r="F1296" s="42">
        <v>17.21</v>
      </c>
      <c r="G1296" s="37">
        <f t="shared" ref="G1296:G1297" si="21">E1296*F1296</f>
        <v>5.7366666666666664</v>
      </c>
      <c r="H1296" s="180"/>
    </row>
    <row r="1297" spans="1:8" s="137" customFormat="1" x14ac:dyDescent="0.25">
      <c r="A1297" s="161"/>
      <c r="B1297" s="50">
        <v>1079</v>
      </c>
      <c r="C1297" s="17" t="s">
        <v>629</v>
      </c>
      <c r="D1297" s="216" t="s">
        <v>180</v>
      </c>
      <c r="E1297" s="71">
        <f>1/3</f>
        <v>0.33333333333333331</v>
      </c>
      <c r="F1297" s="42">
        <v>17.79</v>
      </c>
      <c r="G1297" s="37">
        <f t="shared" si="21"/>
        <v>5.93</v>
      </c>
      <c r="H1297" s="180"/>
    </row>
    <row r="1298" spans="1:8" s="137" customFormat="1" x14ac:dyDescent="0.25">
      <c r="A1298" s="161"/>
      <c r="B1298" s="215"/>
      <c r="C1298" s="25"/>
      <c r="D1298" s="25"/>
      <c r="E1298" s="26"/>
      <c r="F1298" s="27" t="s">
        <v>179</v>
      </c>
      <c r="G1298" s="40">
        <f>SUM(G1295:G1297)</f>
        <v>22.536666666666665</v>
      </c>
      <c r="H1298" s="180"/>
    </row>
    <row r="1299" spans="1:8" s="137" customFormat="1" ht="15.75" thickBot="1" x14ac:dyDescent="0.3">
      <c r="A1299" s="161"/>
      <c r="B1299" s="215"/>
      <c r="C1299" s="17"/>
      <c r="D1299" s="25"/>
      <c r="E1299" s="26"/>
      <c r="F1299" s="16"/>
      <c r="G1299" s="43"/>
      <c r="H1299" s="180"/>
    </row>
    <row r="1300" spans="1:8" s="137" customFormat="1" ht="15.75" thickBot="1" x14ac:dyDescent="0.3">
      <c r="A1300" s="161"/>
      <c r="B1300" s="44" t="s">
        <v>240</v>
      </c>
      <c r="C1300" s="45" t="s">
        <v>632</v>
      </c>
      <c r="D1300" s="46"/>
      <c r="E1300" s="47"/>
      <c r="F1300" s="16" t="s">
        <v>178</v>
      </c>
      <c r="G1300" s="113">
        <f>G1293+G1298</f>
        <v>34.106166666666667</v>
      </c>
      <c r="H1300" s="180"/>
    </row>
    <row r="1301" spans="1:8" s="137" customFormat="1" x14ac:dyDescent="0.25">
      <c r="A1301" s="161"/>
      <c r="B1301" s="30" t="s">
        <v>801</v>
      </c>
      <c r="C1301" s="51" t="s">
        <v>833</v>
      </c>
      <c r="D1301" s="32"/>
      <c r="E1301" s="69" t="s">
        <v>193</v>
      </c>
      <c r="F1301" s="33" t="s">
        <v>192</v>
      </c>
      <c r="G1301" s="34" t="s">
        <v>191</v>
      </c>
      <c r="H1301" s="180"/>
    </row>
    <row r="1302" spans="1:8" s="137" customFormat="1" x14ac:dyDescent="0.25">
      <c r="A1302" s="161"/>
      <c r="B1302" s="35" t="s">
        <v>0</v>
      </c>
      <c r="C1302" s="20" t="s">
        <v>1</v>
      </c>
      <c r="D1302" s="20" t="s">
        <v>190</v>
      </c>
      <c r="E1302" s="59" t="s">
        <v>189</v>
      </c>
      <c r="F1302" s="18" t="s">
        <v>188</v>
      </c>
      <c r="G1302" s="64" t="s">
        <v>187</v>
      </c>
      <c r="H1302" s="180"/>
    </row>
    <row r="1303" spans="1:8" s="137" customFormat="1" x14ac:dyDescent="0.25">
      <c r="A1303" s="161"/>
      <c r="B1303" s="358" t="s">
        <v>186</v>
      </c>
      <c r="C1303" s="359"/>
      <c r="D1303" s="216"/>
      <c r="E1303" s="26"/>
      <c r="F1303" s="36"/>
      <c r="G1303" s="37"/>
      <c r="H1303" s="180"/>
    </row>
    <row r="1304" spans="1:8" s="179" customFormat="1" x14ac:dyDescent="0.25">
      <c r="A1304" s="161"/>
      <c r="B1304" s="50">
        <v>88264</v>
      </c>
      <c r="C1304" s="17" t="s">
        <v>185</v>
      </c>
      <c r="D1304" s="216" t="s">
        <v>184</v>
      </c>
      <c r="E1304" s="41">
        <v>0.8</v>
      </c>
      <c r="F1304" s="42">
        <v>25.71</v>
      </c>
      <c r="G1304" s="37">
        <f>E1304*F1304</f>
        <v>20.568000000000001</v>
      </c>
      <c r="H1304" s="181"/>
    </row>
    <row r="1305" spans="1:8" s="137" customFormat="1" x14ac:dyDescent="0.25">
      <c r="A1305" s="161"/>
      <c r="B1305" s="50">
        <v>88247</v>
      </c>
      <c r="C1305" s="17" t="s">
        <v>197</v>
      </c>
      <c r="D1305" s="216" t="s">
        <v>184</v>
      </c>
      <c r="E1305" s="71">
        <v>0.8</v>
      </c>
      <c r="F1305" s="27">
        <v>19.93</v>
      </c>
      <c r="G1305" s="37">
        <f>E1305*F1305</f>
        <v>15.944000000000001</v>
      </c>
      <c r="H1305" s="180"/>
    </row>
    <row r="1306" spans="1:8" s="137" customFormat="1" x14ac:dyDescent="0.25">
      <c r="A1306" s="161"/>
      <c r="B1306" s="215"/>
      <c r="C1306" s="25"/>
      <c r="D1306" s="25"/>
      <c r="E1306" s="68"/>
      <c r="F1306" s="39" t="s">
        <v>183</v>
      </c>
      <c r="G1306" s="40">
        <f>SUM(G1304:G1305)</f>
        <v>36.512</v>
      </c>
      <c r="H1306" s="180"/>
    </row>
    <row r="1307" spans="1:8" s="137" customFormat="1" x14ac:dyDescent="0.25">
      <c r="A1307" s="161"/>
      <c r="B1307" s="358" t="s">
        <v>182</v>
      </c>
      <c r="C1307" s="359"/>
      <c r="D1307" s="216"/>
      <c r="E1307" s="54"/>
      <c r="F1307" s="36"/>
      <c r="G1307" s="37"/>
      <c r="H1307" s="180"/>
    </row>
    <row r="1308" spans="1:8" s="137" customFormat="1" ht="22.5" x14ac:dyDescent="0.25">
      <c r="A1308" s="161"/>
      <c r="B1308" s="50">
        <v>39374</v>
      </c>
      <c r="C1308" s="17" t="s">
        <v>834</v>
      </c>
      <c r="D1308" s="216" t="s">
        <v>180</v>
      </c>
      <c r="E1308" s="71">
        <f>1/5</f>
        <v>0.2</v>
      </c>
      <c r="F1308" s="42">
        <v>88.05</v>
      </c>
      <c r="G1308" s="37">
        <f>E1308*F1308</f>
        <v>17.61</v>
      </c>
      <c r="H1308" s="180"/>
    </row>
    <row r="1309" spans="1:8" s="137" customFormat="1" x14ac:dyDescent="0.25">
      <c r="A1309" s="161"/>
      <c r="B1309" s="50">
        <v>1082</v>
      </c>
      <c r="C1309" s="17" t="s">
        <v>794</v>
      </c>
      <c r="D1309" s="216" t="s">
        <v>180</v>
      </c>
      <c r="E1309" s="71">
        <f t="shared" ref="E1309:E1312" si="22">1/5</f>
        <v>0.2</v>
      </c>
      <c r="F1309" s="42">
        <v>111.83</v>
      </c>
      <c r="G1309" s="37">
        <f t="shared" ref="G1309:G1312" si="23">E1309*F1309</f>
        <v>22.366</v>
      </c>
      <c r="H1309" s="180"/>
    </row>
    <row r="1310" spans="1:8" s="137" customFormat="1" x14ac:dyDescent="0.25">
      <c r="A1310" s="161"/>
      <c r="B1310" s="50">
        <v>12316</v>
      </c>
      <c r="C1310" s="17" t="s">
        <v>835</v>
      </c>
      <c r="D1310" s="216" t="s">
        <v>180</v>
      </c>
      <c r="E1310" s="71">
        <f t="shared" si="22"/>
        <v>0.2</v>
      </c>
      <c r="F1310" s="42">
        <v>51.25</v>
      </c>
      <c r="G1310" s="37">
        <f t="shared" si="23"/>
        <v>10.25</v>
      </c>
      <c r="H1310" s="180"/>
    </row>
    <row r="1311" spans="1:8" s="137" customFormat="1" x14ac:dyDescent="0.25">
      <c r="A1311" s="161"/>
      <c r="B1311" s="50">
        <v>12317</v>
      </c>
      <c r="C1311" s="17" t="s">
        <v>836</v>
      </c>
      <c r="D1311" s="216" t="s">
        <v>180</v>
      </c>
      <c r="E1311" s="71">
        <f t="shared" si="22"/>
        <v>0.2</v>
      </c>
      <c r="F1311" s="42">
        <v>61.12</v>
      </c>
      <c r="G1311" s="37">
        <f t="shared" si="23"/>
        <v>12.224</v>
      </c>
      <c r="H1311" s="180"/>
    </row>
    <row r="1312" spans="1:8" s="137" customFormat="1" x14ac:dyDescent="0.25">
      <c r="A1312" s="161"/>
      <c r="B1312" s="50">
        <v>12318</v>
      </c>
      <c r="C1312" s="17" t="s">
        <v>837</v>
      </c>
      <c r="D1312" s="216" t="s">
        <v>180</v>
      </c>
      <c r="E1312" s="71">
        <f t="shared" si="22"/>
        <v>0.2</v>
      </c>
      <c r="F1312" s="42">
        <v>70.41</v>
      </c>
      <c r="G1312" s="37">
        <f t="shared" si="23"/>
        <v>14.082000000000001</v>
      </c>
      <c r="H1312" s="180"/>
    </row>
    <row r="1313" spans="1:8" s="137" customFormat="1" x14ac:dyDescent="0.25">
      <c r="A1313" s="161"/>
      <c r="B1313" s="215"/>
      <c r="C1313" s="25"/>
      <c r="D1313" s="25"/>
      <c r="E1313" s="26"/>
      <c r="F1313" s="27" t="s">
        <v>179</v>
      </c>
      <c r="G1313" s="40">
        <f>SUM(G1308:G1312)</f>
        <v>76.532000000000011</v>
      </c>
      <c r="H1313" s="180"/>
    </row>
    <row r="1314" spans="1:8" s="137" customFormat="1" ht="15.75" thickBot="1" x14ac:dyDescent="0.3">
      <c r="A1314" s="161"/>
      <c r="B1314" s="215"/>
      <c r="C1314" s="17"/>
      <c r="D1314" s="25"/>
      <c r="E1314" s="26"/>
      <c r="F1314" s="16"/>
      <c r="G1314" s="43"/>
      <c r="H1314" s="180"/>
    </row>
    <row r="1315" spans="1:8" s="137" customFormat="1" ht="15.75" thickBot="1" x14ac:dyDescent="0.3">
      <c r="A1315" s="161"/>
      <c r="B1315" s="44" t="s">
        <v>240</v>
      </c>
      <c r="C1315" s="45" t="s">
        <v>844</v>
      </c>
      <c r="D1315" s="46"/>
      <c r="E1315" s="47"/>
      <c r="F1315" s="16" t="s">
        <v>178</v>
      </c>
      <c r="G1315" s="113">
        <f>G1306+G1313</f>
        <v>113.04400000000001</v>
      </c>
      <c r="H1315" s="180"/>
    </row>
    <row r="1316" spans="1:8" ht="15.75" thickBot="1" x14ac:dyDescent="0.3">
      <c r="B1316" s="23" t="s">
        <v>105</v>
      </c>
      <c r="C1316" s="22" t="s">
        <v>99</v>
      </c>
      <c r="D1316" s="21"/>
      <c r="E1316" s="124"/>
      <c r="F1316" s="21"/>
      <c r="G1316" s="124"/>
    </row>
    <row r="1317" spans="1:8" x14ac:dyDescent="0.25">
      <c r="B1317" s="30" t="s">
        <v>170</v>
      </c>
      <c r="C1317" s="51" t="s">
        <v>845</v>
      </c>
      <c r="D1317" s="32"/>
      <c r="E1317" s="69" t="s">
        <v>193</v>
      </c>
      <c r="F1317" s="33" t="s">
        <v>192</v>
      </c>
      <c r="G1317" s="34" t="s">
        <v>191</v>
      </c>
    </row>
    <row r="1318" spans="1:8" x14ac:dyDescent="0.25">
      <c r="B1318" s="35" t="s">
        <v>0</v>
      </c>
      <c r="C1318" s="20" t="s">
        <v>1</v>
      </c>
      <c r="D1318" s="20" t="s">
        <v>190</v>
      </c>
      <c r="E1318" s="59" t="s">
        <v>189</v>
      </c>
      <c r="F1318" s="18" t="s">
        <v>188</v>
      </c>
      <c r="G1318" s="64" t="s">
        <v>187</v>
      </c>
    </row>
    <row r="1319" spans="1:8" x14ac:dyDescent="0.25">
      <c r="B1319" s="356" t="s">
        <v>186</v>
      </c>
      <c r="C1319" s="357"/>
      <c r="D1319" s="216"/>
      <c r="E1319" s="26"/>
      <c r="F1319" s="36"/>
      <c r="G1319" s="37"/>
    </row>
    <row r="1320" spans="1:8" ht="24" x14ac:dyDescent="0.25">
      <c r="B1320" s="50">
        <v>88264</v>
      </c>
      <c r="C1320" s="17" t="s">
        <v>185</v>
      </c>
      <c r="D1320" s="216" t="s">
        <v>184</v>
      </c>
      <c r="E1320" s="41">
        <f>0.308+0.124</f>
        <v>0.432</v>
      </c>
      <c r="F1320" s="42">
        <v>25.71</v>
      </c>
      <c r="G1320" s="37">
        <f>E1320*F1320</f>
        <v>11.106720000000001</v>
      </c>
      <c r="H1320" s="181" t="s">
        <v>644</v>
      </c>
    </row>
    <row r="1321" spans="1:8" x14ac:dyDescent="0.25">
      <c r="B1321" s="50">
        <v>88247</v>
      </c>
      <c r="C1321" s="17" t="s">
        <v>197</v>
      </c>
      <c r="D1321" s="216" t="s">
        <v>184</v>
      </c>
      <c r="E1321" s="71">
        <v>0.308</v>
      </c>
      <c r="F1321" s="27">
        <v>19.93</v>
      </c>
      <c r="G1321" s="37">
        <f>E1321*F1321</f>
        <v>6.1384400000000001</v>
      </c>
    </row>
    <row r="1322" spans="1:8" x14ac:dyDescent="0.25">
      <c r="B1322" s="215"/>
      <c r="C1322" s="25"/>
      <c r="D1322" s="25"/>
      <c r="E1322" s="53"/>
      <c r="F1322" s="39" t="s">
        <v>183</v>
      </c>
      <c r="G1322" s="40">
        <f>SUM(G1320:G1321)</f>
        <v>17.245160000000002</v>
      </c>
    </row>
    <row r="1323" spans="1:8" x14ac:dyDescent="0.25">
      <c r="B1323" s="358" t="s">
        <v>182</v>
      </c>
      <c r="C1323" s="359"/>
      <c r="D1323" s="216"/>
      <c r="E1323" s="26"/>
      <c r="F1323" s="36"/>
      <c r="G1323" s="37"/>
    </row>
    <row r="1324" spans="1:8" ht="22.5" x14ac:dyDescent="0.25">
      <c r="B1324" s="50">
        <v>38094</v>
      </c>
      <c r="C1324" s="17" t="s">
        <v>196</v>
      </c>
      <c r="D1324" s="216" t="s">
        <v>180</v>
      </c>
      <c r="E1324" s="71">
        <v>1</v>
      </c>
      <c r="F1324" s="42">
        <v>2.44</v>
      </c>
      <c r="G1324" s="37">
        <f>E1324*F1324</f>
        <v>2.44</v>
      </c>
    </row>
    <row r="1325" spans="1:8" ht="22.5" x14ac:dyDescent="0.25">
      <c r="B1325" s="50">
        <v>38099</v>
      </c>
      <c r="C1325" s="17" t="s">
        <v>195</v>
      </c>
      <c r="D1325" s="216" t="s">
        <v>180</v>
      </c>
      <c r="E1325" s="71">
        <v>1</v>
      </c>
      <c r="F1325" s="42">
        <v>1.26</v>
      </c>
      <c r="G1325" s="37">
        <f>E1325*F1325</f>
        <v>1.26</v>
      </c>
    </row>
    <row r="1326" spans="1:8" ht="24" x14ac:dyDescent="0.25">
      <c r="B1326" s="50">
        <v>38102</v>
      </c>
      <c r="C1326" s="17" t="s">
        <v>633</v>
      </c>
      <c r="D1326" s="216" t="s">
        <v>180</v>
      </c>
      <c r="E1326" s="71">
        <v>0.5</v>
      </c>
      <c r="F1326" s="42">
        <v>8.3800000000000008</v>
      </c>
      <c r="G1326" s="37">
        <f>E1326*F1326</f>
        <v>4.1900000000000004</v>
      </c>
      <c r="H1326" s="181" t="s">
        <v>846</v>
      </c>
    </row>
    <row r="1327" spans="1:8" x14ac:dyDescent="0.25">
      <c r="B1327" s="50">
        <v>38112</v>
      </c>
      <c r="C1327" s="17" t="s">
        <v>194</v>
      </c>
      <c r="D1327" s="216" t="s">
        <v>180</v>
      </c>
      <c r="E1327" s="71">
        <v>0.5</v>
      </c>
      <c r="F1327" s="42">
        <v>5.76</v>
      </c>
      <c r="G1327" s="37">
        <f>E1327*F1327</f>
        <v>2.88</v>
      </c>
    </row>
    <row r="1328" spans="1:8" x14ac:dyDescent="0.25">
      <c r="B1328" s="215"/>
      <c r="C1328" s="25"/>
      <c r="D1328" s="25"/>
      <c r="E1328" s="26"/>
      <c r="F1328" s="27" t="s">
        <v>179</v>
      </c>
      <c r="G1328" s="40">
        <f>SUM(G1324:G1327)</f>
        <v>10.77</v>
      </c>
    </row>
    <row r="1329" spans="2:7" ht="15.75" thickBot="1" x14ac:dyDescent="0.3">
      <c r="B1329" s="215"/>
      <c r="C1329" s="17"/>
      <c r="D1329" s="25"/>
      <c r="E1329" s="26"/>
      <c r="F1329" s="16"/>
      <c r="G1329" s="43"/>
    </row>
    <row r="1330" spans="2:7" ht="15.75" thickBot="1" x14ac:dyDescent="0.3">
      <c r="B1330" s="44" t="s">
        <v>240</v>
      </c>
      <c r="C1330" s="45" t="s">
        <v>643</v>
      </c>
      <c r="D1330" s="46"/>
      <c r="E1330" s="47"/>
      <c r="F1330" s="16" t="s">
        <v>178</v>
      </c>
      <c r="G1330" s="113">
        <f>G1322+G1328</f>
        <v>28.015160000000002</v>
      </c>
    </row>
    <row r="1331" spans="2:7" ht="33.75" x14ac:dyDescent="0.25">
      <c r="B1331" s="30" t="s">
        <v>171</v>
      </c>
      <c r="C1331" s="51" t="s">
        <v>634</v>
      </c>
      <c r="D1331" s="32"/>
      <c r="E1331" s="69" t="s">
        <v>193</v>
      </c>
      <c r="F1331" s="33" t="s">
        <v>192</v>
      </c>
      <c r="G1331" s="34" t="s">
        <v>191</v>
      </c>
    </row>
    <row r="1332" spans="2:7" x14ac:dyDescent="0.25">
      <c r="B1332" s="35" t="s">
        <v>0</v>
      </c>
      <c r="C1332" s="20" t="s">
        <v>1</v>
      </c>
      <c r="D1332" s="20" t="s">
        <v>190</v>
      </c>
      <c r="E1332" s="59" t="s">
        <v>189</v>
      </c>
      <c r="F1332" s="18" t="s">
        <v>188</v>
      </c>
      <c r="G1332" s="64" t="s">
        <v>187</v>
      </c>
    </row>
    <row r="1333" spans="2:7" x14ac:dyDescent="0.25">
      <c r="B1333" s="356" t="s">
        <v>186</v>
      </c>
      <c r="C1333" s="357"/>
      <c r="D1333" s="216"/>
      <c r="E1333" s="26"/>
      <c r="F1333" s="36"/>
      <c r="G1333" s="37"/>
    </row>
    <row r="1334" spans="2:7" ht="22.5" x14ac:dyDescent="0.25">
      <c r="B1334" s="50">
        <v>90447</v>
      </c>
      <c r="C1334" s="17" t="s">
        <v>635</v>
      </c>
      <c r="D1334" s="216" t="s">
        <v>11</v>
      </c>
      <c r="E1334" s="71">
        <v>2.2000000000000002</v>
      </c>
      <c r="F1334" s="42">
        <v>6.22</v>
      </c>
      <c r="G1334" s="37">
        <f>E1334*F1334</f>
        <v>13.684000000000001</v>
      </c>
    </row>
    <row r="1335" spans="2:7" ht="22.5" x14ac:dyDescent="0.25">
      <c r="B1335" s="50">
        <v>90456</v>
      </c>
      <c r="C1335" s="17" t="s">
        <v>636</v>
      </c>
      <c r="D1335" s="216" t="s">
        <v>180</v>
      </c>
      <c r="E1335" s="71">
        <v>1</v>
      </c>
      <c r="F1335" s="42">
        <v>3.5</v>
      </c>
      <c r="G1335" s="37">
        <f>E1335*F1335</f>
        <v>3.5</v>
      </c>
    </row>
    <row r="1336" spans="2:7" ht="22.5" x14ac:dyDescent="0.25">
      <c r="B1336" s="50">
        <v>90466</v>
      </c>
      <c r="C1336" s="17" t="s">
        <v>518</v>
      </c>
      <c r="D1336" s="216" t="s">
        <v>11</v>
      </c>
      <c r="E1336" s="71">
        <v>2.2000000000000002</v>
      </c>
      <c r="F1336" s="42">
        <v>10.62</v>
      </c>
      <c r="G1336" s="37">
        <f>E1336*F1336</f>
        <v>23.364000000000001</v>
      </c>
    </row>
    <row r="1337" spans="2:7" x14ac:dyDescent="0.25">
      <c r="B1337" s="215"/>
      <c r="C1337" s="25"/>
      <c r="D1337" s="25"/>
      <c r="E1337" s="53"/>
      <c r="F1337" s="39" t="s">
        <v>183</v>
      </c>
      <c r="G1337" s="40">
        <f>SUM(G1334:G1336)</f>
        <v>40.548000000000002</v>
      </c>
    </row>
    <row r="1338" spans="2:7" x14ac:dyDescent="0.25">
      <c r="B1338" s="358" t="s">
        <v>182</v>
      </c>
      <c r="C1338" s="359"/>
      <c r="D1338" s="216"/>
      <c r="E1338" s="26"/>
      <c r="F1338" s="36"/>
      <c r="G1338" s="37"/>
    </row>
    <row r="1339" spans="2:7" ht="22.5" x14ac:dyDescent="0.25">
      <c r="B1339" s="50">
        <v>91842</v>
      </c>
      <c r="C1339" s="17" t="s">
        <v>637</v>
      </c>
      <c r="D1339" s="216" t="s">
        <v>11</v>
      </c>
      <c r="E1339" s="71">
        <v>2</v>
      </c>
      <c r="F1339" s="42">
        <v>4.5</v>
      </c>
      <c r="G1339" s="37">
        <f t="shared" ref="G1339:G1344" si="24">E1339*F1339</f>
        <v>9</v>
      </c>
    </row>
    <row r="1340" spans="2:7" ht="22.5" x14ac:dyDescent="0.25">
      <c r="B1340" s="50">
        <v>91852</v>
      </c>
      <c r="C1340" s="17" t="s">
        <v>638</v>
      </c>
      <c r="D1340" s="216" t="s">
        <v>11</v>
      </c>
      <c r="E1340" s="71">
        <v>2.2000000000000002</v>
      </c>
      <c r="F1340" s="42">
        <v>6.99</v>
      </c>
      <c r="G1340" s="37">
        <f t="shared" si="24"/>
        <v>15.378000000000002</v>
      </c>
    </row>
    <row r="1341" spans="2:7" ht="22.5" x14ac:dyDescent="0.25">
      <c r="B1341" s="50">
        <v>91924</v>
      </c>
      <c r="C1341" s="17" t="s">
        <v>639</v>
      </c>
      <c r="D1341" s="216" t="s">
        <v>11</v>
      </c>
      <c r="E1341" s="71">
        <v>8.4</v>
      </c>
      <c r="F1341" s="42">
        <v>1.85</v>
      </c>
      <c r="G1341" s="37">
        <f t="shared" si="24"/>
        <v>15.540000000000001</v>
      </c>
    </row>
    <row r="1342" spans="2:7" ht="22.5" x14ac:dyDescent="0.25">
      <c r="B1342" s="50">
        <v>91926</v>
      </c>
      <c r="C1342" s="17" t="s">
        <v>640</v>
      </c>
      <c r="D1342" s="216" t="s">
        <v>11</v>
      </c>
      <c r="E1342" s="71">
        <v>12.6</v>
      </c>
      <c r="F1342" s="42">
        <v>2.63</v>
      </c>
      <c r="G1342" s="37">
        <f t="shared" si="24"/>
        <v>33.137999999999998</v>
      </c>
    </row>
    <row r="1343" spans="2:7" ht="22.5" x14ac:dyDescent="0.25">
      <c r="B1343" s="50">
        <v>91937</v>
      </c>
      <c r="C1343" s="17" t="s">
        <v>641</v>
      </c>
      <c r="D1343" s="216" t="s">
        <v>180</v>
      </c>
      <c r="E1343" s="71">
        <v>0.375</v>
      </c>
      <c r="F1343" s="42">
        <v>9.3699999999999992</v>
      </c>
      <c r="G1343" s="37">
        <f t="shared" si="24"/>
        <v>3.5137499999999999</v>
      </c>
    </row>
    <row r="1344" spans="2:7" ht="22.5" x14ac:dyDescent="0.25">
      <c r="B1344" s="50">
        <v>91940</v>
      </c>
      <c r="C1344" s="17" t="s">
        <v>642</v>
      </c>
      <c r="D1344" s="216" t="s">
        <v>180</v>
      </c>
      <c r="E1344" s="71">
        <v>1</v>
      </c>
      <c r="F1344" s="42">
        <v>13.24</v>
      </c>
      <c r="G1344" s="37">
        <f t="shared" si="24"/>
        <v>13.24</v>
      </c>
    </row>
    <row r="1345" spans="2:7" x14ac:dyDescent="0.25">
      <c r="B1345" s="215"/>
      <c r="C1345" s="25"/>
      <c r="D1345" s="25"/>
      <c r="E1345" s="26"/>
      <c r="F1345" s="27" t="s">
        <v>179</v>
      </c>
      <c r="G1345" s="40">
        <f>SUM(G1339:G1344)</f>
        <v>89.809749999999994</v>
      </c>
    </row>
    <row r="1346" spans="2:7" ht="15.75" thickBot="1" x14ac:dyDescent="0.3">
      <c r="B1346" s="215"/>
      <c r="C1346" s="17"/>
      <c r="D1346" s="25"/>
      <c r="E1346" s="26"/>
      <c r="F1346" s="16"/>
      <c r="G1346" s="43"/>
    </row>
    <row r="1347" spans="2:7" ht="15.75" thickBot="1" x14ac:dyDescent="0.3">
      <c r="B1347" s="44" t="s">
        <v>240</v>
      </c>
      <c r="C1347" s="45" t="s">
        <v>1096</v>
      </c>
      <c r="D1347" s="46"/>
      <c r="E1347" s="47"/>
      <c r="F1347" s="16" t="s">
        <v>178</v>
      </c>
      <c r="G1347" s="113">
        <f>G1337+G1345</f>
        <v>130.35775000000001</v>
      </c>
    </row>
    <row r="1348" spans="2:7" ht="15.75" thickBot="1" x14ac:dyDescent="0.3">
      <c r="B1348" s="23" t="s">
        <v>106</v>
      </c>
      <c r="C1348" s="22" t="s">
        <v>100</v>
      </c>
      <c r="D1348" s="21"/>
      <c r="E1348" s="124"/>
      <c r="F1348" s="21"/>
      <c r="G1348" s="124"/>
    </row>
    <row r="1349" spans="2:7" x14ac:dyDescent="0.25">
      <c r="B1349" s="30" t="s">
        <v>172</v>
      </c>
      <c r="C1349" s="51" t="s">
        <v>651</v>
      </c>
      <c r="D1349" s="32"/>
      <c r="E1349" s="69" t="s">
        <v>645</v>
      </c>
      <c r="F1349" s="33" t="s">
        <v>192</v>
      </c>
      <c r="G1349" s="34" t="s">
        <v>191</v>
      </c>
    </row>
    <row r="1350" spans="2:7" x14ac:dyDescent="0.25">
      <c r="B1350" s="35" t="s">
        <v>0</v>
      </c>
      <c r="C1350" s="20" t="s">
        <v>1</v>
      </c>
      <c r="D1350" s="20" t="s">
        <v>190</v>
      </c>
      <c r="E1350" s="59" t="s">
        <v>189</v>
      </c>
      <c r="F1350" s="18" t="s">
        <v>188</v>
      </c>
      <c r="G1350" s="64" t="s">
        <v>187</v>
      </c>
    </row>
    <row r="1351" spans="2:7" x14ac:dyDescent="0.25">
      <c r="B1351" s="356" t="s">
        <v>186</v>
      </c>
      <c r="C1351" s="357"/>
      <c r="D1351" s="216"/>
      <c r="E1351" s="26"/>
      <c r="F1351" s="36"/>
      <c r="G1351" s="37"/>
    </row>
    <row r="1352" spans="2:7" x14ac:dyDescent="0.25">
      <c r="B1352" s="50">
        <v>88264</v>
      </c>
      <c r="C1352" s="17" t="s">
        <v>185</v>
      </c>
      <c r="D1352" s="216" t="s">
        <v>184</v>
      </c>
      <c r="E1352" s="41">
        <v>0.125</v>
      </c>
      <c r="F1352" s="42">
        <v>25.71</v>
      </c>
      <c r="G1352" s="37">
        <f>E1352*F1352</f>
        <v>3.2137500000000001</v>
      </c>
    </row>
    <row r="1353" spans="2:7" x14ac:dyDescent="0.25">
      <c r="B1353" s="215"/>
      <c r="C1353" s="25"/>
      <c r="D1353" s="25"/>
      <c r="E1353" s="53"/>
      <c r="F1353" s="39" t="s">
        <v>183</v>
      </c>
      <c r="G1353" s="40">
        <f>SUM(G1352)</f>
        <v>3.2137500000000001</v>
      </c>
    </row>
    <row r="1354" spans="2:7" x14ac:dyDescent="0.25">
      <c r="B1354" s="358" t="s">
        <v>182</v>
      </c>
      <c r="C1354" s="359"/>
      <c r="D1354" s="216"/>
      <c r="E1354" s="26"/>
      <c r="F1354" s="36"/>
      <c r="G1354" s="37"/>
    </row>
    <row r="1355" spans="2:7" x14ac:dyDescent="0.25">
      <c r="B1355" s="50">
        <v>2370</v>
      </c>
      <c r="C1355" s="17" t="s">
        <v>181</v>
      </c>
      <c r="D1355" s="216" t="s">
        <v>180</v>
      </c>
      <c r="E1355" s="71">
        <v>1</v>
      </c>
      <c r="F1355" s="42">
        <v>14</v>
      </c>
      <c r="G1355" s="37">
        <f>E1355*F1355</f>
        <v>14</v>
      </c>
    </row>
    <row r="1356" spans="2:7" x14ac:dyDescent="0.25">
      <c r="B1356" s="215"/>
      <c r="C1356" s="25"/>
      <c r="D1356" s="25"/>
      <c r="E1356" s="26"/>
      <c r="F1356" s="27" t="s">
        <v>179</v>
      </c>
      <c r="G1356" s="40">
        <f>SUM(G1355:G1355)</f>
        <v>14</v>
      </c>
    </row>
    <row r="1357" spans="2:7" ht="15.75" thickBot="1" x14ac:dyDescent="0.3">
      <c r="B1357" s="215"/>
      <c r="C1357" s="17"/>
      <c r="D1357" s="25"/>
      <c r="E1357" s="26"/>
      <c r="F1357" s="16"/>
      <c r="G1357" s="43"/>
    </row>
    <row r="1358" spans="2:7" ht="15.75" thickBot="1" x14ac:dyDescent="0.3">
      <c r="B1358" s="44" t="s">
        <v>240</v>
      </c>
      <c r="C1358" s="45" t="s">
        <v>649</v>
      </c>
      <c r="D1358" s="46"/>
      <c r="E1358" s="47"/>
      <c r="F1358" s="16" t="s">
        <v>178</v>
      </c>
      <c r="G1358" s="113">
        <f>G1353+G1356</f>
        <v>17.213750000000001</v>
      </c>
    </row>
    <row r="1359" spans="2:7" x14ac:dyDescent="0.25">
      <c r="B1359" s="30" t="s">
        <v>173</v>
      </c>
      <c r="C1359" s="51" t="s">
        <v>646</v>
      </c>
      <c r="D1359" s="32"/>
      <c r="E1359" s="69" t="s">
        <v>647</v>
      </c>
      <c r="F1359" s="33" t="s">
        <v>192</v>
      </c>
      <c r="G1359" s="34" t="s">
        <v>191</v>
      </c>
    </row>
    <row r="1360" spans="2:7" x14ac:dyDescent="0.25">
      <c r="B1360" s="35" t="s">
        <v>0</v>
      </c>
      <c r="C1360" s="20" t="s">
        <v>1</v>
      </c>
      <c r="D1360" s="20" t="s">
        <v>190</v>
      </c>
      <c r="E1360" s="59" t="s">
        <v>189</v>
      </c>
      <c r="F1360" s="18" t="s">
        <v>188</v>
      </c>
      <c r="G1360" s="64" t="s">
        <v>187</v>
      </c>
    </row>
    <row r="1361" spans="2:7" x14ac:dyDescent="0.25">
      <c r="B1361" s="356" t="s">
        <v>186</v>
      </c>
      <c r="C1361" s="357"/>
      <c r="D1361" s="216"/>
      <c r="E1361" s="26"/>
      <c r="F1361" s="36"/>
      <c r="G1361" s="37"/>
    </row>
    <row r="1362" spans="2:7" x14ac:dyDescent="0.25">
      <c r="B1362" s="50">
        <v>88264</v>
      </c>
      <c r="C1362" s="17" t="s">
        <v>185</v>
      </c>
      <c r="D1362" s="216" t="s">
        <v>184</v>
      </c>
      <c r="E1362" s="41">
        <v>0.4</v>
      </c>
      <c r="F1362" s="42">
        <v>25.71</v>
      </c>
      <c r="G1362" s="37">
        <f>E1362*F1362</f>
        <v>10.284000000000001</v>
      </c>
    </row>
    <row r="1363" spans="2:7" x14ac:dyDescent="0.25">
      <c r="B1363" s="50">
        <v>88247</v>
      </c>
      <c r="C1363" s="17" t="s">
        <v>197</v>
      </c>
      <c r="D1363" s="216" t="s">
        <v>184</v>
      </c>
      <c r="E1363" s="71">
        <v>0.4</v>
      </c>
      <c r="F1363" s="27">
        <v>19.93</v>
      </c>
      <c r="G1363" s="37">
        <f>E1363*F1363</f>
        <v>7.9720000000000004</v>
      </c>
    </row>
    <row r="1364" spans="2:7" x14ac:dyDescent="0.25">
      <c r="B1364" s="215"/>
      <c r="C1364" s="25"/>
      <c r="D1364" s="25"/>
      <c r="E1364" s="53"/>
      <c r="F1364" s="39" t="s">
        <v>183</v>
      </c>
      <c r="G1364" s="40">
        <f>SUM(G1362:G1363)</f>
        <v>18.256</v>
      </c>
    </row>
    <row r="1365" spans="2:7" x14ac:dyDescent="0.25">
      <c r="B1365" s="358" t="s">
        <v>182</v>
      </c>
      <c r="C1365" s="359"/>
      <c r="D1365" s="216"/>
      <c r="E1365" s="26"/>
      <c r="F1365" s="36"/>
      <c r="G1365" s="37"/>
    </row>
    <row r="1366" spans="2:7" x14ac:dyDescent="0.25">
      <c r="B1366" s="50">
        <v>2392</v>
      </c>
      <c r="C1366" s="17" t="s">
        <v>648</v>
      </c>
      <c r="D1366" s="216" t="s">
        <v>180</v>
      </c>
      <c r="E1366" s="71">
        <v>1</v>
      </c>
      <c r="F1366" s="42">
        <v>93.98</v>
      </c>
      <c r="G1366" s="37">
        <f>E1366*F1366</f>
        <v>93.98</v>
      </c>
    </row>
    <row r="1367" spans="2:7" x14ac:dyDescent="0.25">
      <c r="B1367" s="215"/>
      <c r="C1367" s="25"/>
      <c r="D1367" s="25"/>
      <c r="E1367" s="26"/>
      <c r="F1367" s="27" t="s">
        <v>179</v>
      </c>
      <c r="G1367" s="40">
        <f>SUM(G1366:G1366)</f>
        <v>93.98</v>
      </c>
    </row>
    <row r="1368" spans="2:7" ht="15.75" thickBot="1" x14ac:dyDescent="0.3">
      <c r="B1368" s="215"/>
      <c r="C1368" s="17"/>
      <c r="D1368" s="25"/>
      <c r="E1368" s="26"/>
      <c r="F1368" s="16"/>
      <c r="G1368" s="113"/>
    </row>
    <row r="1369" spans="2:7" ht="15.75" thickBot="1" x14ac:dyDescent="0.3">
      <c r="B1369" s="44" t="s">
        <v>240</v>
      </c>
      <c r="C1369" s="45" t="s">
        <v>650</v>
      </c>
      <c r="D1369" s="46"/>
      <c r="E1369" s="47"/>
      <c r="F1369" s="16" t="s">
        <v>178</v>
      </c>
      <c r="G1369" s="113">
        <f>G1364+G1367</f>
        <v>112.236</v>
      </c>
    </row>
    <row r="1370" spans="2:7" ht="15.75" thickBot="1" x14ac:dyDescent="0.3">
      <c r="B1370" s="23" t="s">
        <v>97</v>
      </c>
      <c r="C1370" s="22" t="s">
        <v>101</v>
      </c>
      <c r="D1370" s="21"/>
      <c r="E1370" s="21"/>
      <c r="F1370" s="21"/>
      <c r="G1370" s="21"/>
    </row>
    <row r="1371" spans="2:7" x14ac:dyDescent="0.25">
      <c r="B1371" s="30" t="s">
        <v>671</v>
      </c>
      <c r="C1371" s="51" t="s">
        <v>1010</v>
      </c>
      <c r="D1371" s="32"/>
      <c r="E1371" s="69" t="s">
        <v>953</v>
      </c>
      <c r="F1371" s="33" t="s">
        <v>192</v>
      </c>
      <c r="G1371" s="34" t="s">
        <v>214</v>
      </c>
    </row>
    <row r="1372" spans="2:7" x14ac:dyDescent="0.25">
      <c r="B1372" s="35" t="s">
        <v>0</v>
      </c>
      <c r="C1372" s="20" t="s">
        <v>1</v>
      </c>
      <c r="D1372" s="20" t="s">
        <v>190</v>
      </c>
      <c r="E1372" s="59" t="s">
        <v>189</v>
      </c>
      <c r="F1372" s="18" t="s">
        <v>188</v>
      </c>
      <c r="G1372" s="64" t="s">
        <v>187</v>
      </c>
    </row>
    <row r="1373" spans="2:7" x14ac:dyDescent="0.25">
      <c r="B1373" s="356" t="s">
        <v>186</v>
      </c>
      <c r="C1373" s="357"/>
      <c r="D1373" s="216"/>
      <c r="E1373" s="26"/>
      <c r="F1373" s="36"/>
      <c r="G1373" s="37"/>
    </row>
    <row r="1374" spans="2:7" x14ac:dyDescent="0.25">
      <c r="B1374" s="50">
        <v>88264</v>
      </c>
      <c r="C1374" s="17" t="s">
        <v>185</v>
      </c>
      <c r="D1374" s="216" t="s">
        <v>184</v>
      </c>
      <c r="E1374" s="41">
        <v>0.39279999999999998</v>
      </c>
      <c r="F1374" s="42">
        <v>25.71</v>
      </c>
      <c r="G1374" s="37">
        <f>E1374*F1374</f>
        <v>10.098888000000001</v>
      </c>
    </row>
    <row r="1375" spans="2:7" x14ac:dyDescent="0.25">
      <c r="B1375" s="50">
        <v>88247</v>
      </c>
      <c r="C1375" s="17" t="s">
        <v>197</v>
      </c>
      <c r="D1375" s="216" t="s">
        <v>184</v>
      </c>
      <c r="E1375" s="67">
        <v>0.39279999999999998</v>
      </c>
      <c r="F1375" s="27">
        <v>19.93</v>
      </c>
      <c r="G1375" s="37">
        <f>E1375*F1375</f>
        <v>7.8285039999999997</v>
      </c>
    </row>
    <row r="1376" spans="2:7" x14ac:dyDescent="0.25">
      <c r="B1376" s="215"/>
      <c r="C1376" s="25"/>
      <c r="D1376" s="25"/>
      <c r="E1376" s="53"/>
      <c r="F1376" s="39" t="s">
        <v>183</v>
      </c>
      <c r="G1376" s="40">
        <f>SUM(G1374:G1375)</f>
        <v>17.927392000000001</v>
      </c>
    </row>
    <row r="1377" spans="1:8" x14ac:dyDescent="0.25">
      <c r="B1377" s="358" t="s">
        <v>182</v>
      </c>
      <c r="C1377" s="359"/>
      <c r="D1377" s="216"/>
      <c r="E1377" s="26"/>
      <c r="F1377" s="36"/>
      <c r="G1377" s="37"/>
    </row>
    <row r="1378" spans="1:8" x14ac:dyDescent="0.25">
      <c r="B1378" s="50">
        <v>864</v>
      </c>
      <c r="C1378" s="17" t="s">
        <v>955</v>
      </c>
      <c r="D1378" s="216" t="s">
        <v>11</v>
      </c>
      <c r="E1378" s="71">
        <v>1.05</v>
      </c>
      <c r="F1378" s="42">
        <v>28.88</v>
      </c>
      <c r="G1378" s="37">
        <f>E1378*F1378</f>
        <v>30.324000000000002</v>
      </c>
    </row>
    <row r="1379" spans="1:8" ht="22.5" x14ac:dyDescent="0.25">
      <c r="B1379" s="50">
        <v>96981</v>
      </c>
      <c r="C1379" s="17" t="s">
        <v>672</v>
      </c>
      <c r="D1379" s="216" t="s">
        <v>11</v>
      </c>
      <c r="E1379" s="71">
        <v>0.5</v>
      </c>
      <c r="F1379" s="42">
        <v>18.47</v>
      </c>
      <c r="G1379" s="37">
        <f>E1379*F1379</f>
        <v>9.2349999999999994</v>
      </c>
    </row>
    <row r="1380" spans="1:8" x14ac:dyDescent="0.25">
      <c r="B1380" s="215"/>
      <c r="C1380" s="25"/>
      <c r="D1380" s="25"/>
      <c r="E1380" s="26"/>
      <c r="F1380" s="27" t="s">
        <v>179</v>
      </c>
      <c r="G1380" s="40">
        <f>SUM(G1378:G1379)</f>
        <v>39.558999999999997</v>
      </c>
    </row>
    <row r="1381" spans="1:8" ht="15.75" thickBot="1" x14ac:dyDescent="0.3">
      <c r="B1381" s="215"/>
      <c r="C1381" s="17"/>
      <c r="D1381" s="25"/>
      <c r="E1381" s="26"/>
      <c r="F1381" s="16"/>
      <c r="G1381" s="43"/>
    </row>
    <row r="1382" spans="1:8" ht="15.75" thickBot="1" x14ac:dyDescent="0.3">
      <c r="B1382" s="44" t="s">
        <v>240</v>
      </c>
      <c r="C1382" s="45" t="s">
        <v>954</v>
      </c>
      <c r="D1382" s="46"/>
      <c r="E1382" s="47"/>
      <c r="F1382" s="16" t="s">
        <v>178</v>
      </c>
      <c r="G1382" s="113">
        <f>G1376+G1380</f>
        <v>57.486391999999995</v>
      </c>
    </row>
    <row r="1383" spans="1:8" s="179" customFormat="1" x14ac:dyDescent="0.25">
      <c r="A1383" s="161"/>
      <c r="B1383" s="30" t="s">
        <v>847</v>
      </c>
      <c r="C1383" s="51" t="s">
        <v>848</v>
      </c>
      <c r="D1383" s="32"/>
      <c r="E1383" s="69" t="s">
        <v>850</v>
      </c>
      <c r="F1383" s="33" t="s">
        <v>192</v>
      </c>
      <c r="G1383" s="34" t="s">
        <v>191</v>
      </c>
      <c r="H1383" s="180"/>
    </row>
    <row r="1384" spans="1:8" s="179" customFormat="1" x14ac:dyDescent="0.25">
      <c r="A1384" s="161"/>
      <c r="B1384" s="35" t="s">
        <v>0</v>
      </c>
      <c r="C1384" s="20" t="s">
        <v>1</v>
      </c>
      <c r="D1384" s="20" t="s">
        <v>190</v>
      </c>
      <c r="E1384" s="59" t="s">
        <v>189</v>
      </c>
      <c r="F1384" s="18" t="s">
        <v>188</v>
      </c>
      <c r="G1384" s="64" t="s">
        <v>187</v>
      </c>
      <c r="H1384" s="180"/>
    </row>
    <row r="1385" spans="1:8" s="179" customFormat="1" x14ac:dyDescent="0.25">
      <c r="A1385" s="161"/>
      <c r="B1385" s="356" t="s">
        <v>186</v>
      </c>
      <c r="C1385" s="357"/>
      <c r="D1385" s="216"/>
      <c r="E1385" s="26"/>
      <c r="F1385" s="36"/>
      <c r="G1385" s="37"/>
      <c r="H1385" s="180"/>
    </row>
    <row r="1386" spans="1:8" s="179" customFormat="1" x14ac:dyDescent="0.25">
      <c r="A1386" s="161"/>
      <c r="B1386" s="50">
        <v>88264</v>
      </c>
      <c r="C1386" s="17" t="s">
        <v>185</v>
      </c>
      <c r="D1386" s="216" t="s">
        <v>184</v>
      </c>
      <c r="E1386" s="41">
        <v>0.12640000000000001</v>
      </c>
      <c r="F1386" s="42">
        <v>25.71</v>
      </c>
      <c r="G1386" s="37">
        <f>E1386*F1386</f>
        <v>3.2497440000000006</v>
      </c>
      <c r="H1386" s="180"/>
    </row>
    <row r="1387" spans="1:8" s="179" customFormat="1" x14ac:dyDescent="0.25">
      <c r="A1387" s="161"/>
      <c r="B1387" s="50">
        <v>88247</v>
      </c>
      <c r="C1387" s="17" t="s">
        <v>197</v>
      </c>
      <c r="D1387" s="216" t="s">
        <v>184</v>
      </c>
      <c r="E1387" s="67">
        <v>0.12640000000000001</v>
      </c>
      <c r="F1387" s="27">
        <v>19.93</v>
      </c>
      <c r="G1387" s="37">
        <f>E1387*F1387</f>
        <v>2.5191520000000001</v>
      </c>
      <c r="H1387" s="180"/>
    </row>
    <row r="1388" spans="1:8" s="179" customFormat="1" x14ac:dyDescent="0.25">
      <c r="A1388" s="161"/>
      <c r="B1388" s="215"/>
      <c r="C1388" s="25"/>
      <c r="D1388" s="25"/>
      <c r="E1388" s="53"/>
      <c r="F1388" s="39" t="s">
        <v>183</v>
      </c>
      <c r="G1388" s="40">
        <f>SUM(G1386:G1387)</f>
        <v>5.7688960000000007</v>
      </c>
      <c r="H1388" s="180"/>
    </row>
    <row r="1389" spans="1:8" s="179" customFormat="1" x14ac:dyDescent="0.25">
      <c r="A1389" s="161"/>
      <c r="B1389" s="358" t="s">
        <v>182</v>
      </c>
      <c r="C1389" s="359"/>
      <c r="D1389" s="216"/>
      <c r="E1389" s="26"/>
      <c r="F1389" s="36"/>
      <c r="G1389" s="37"/>
      <c r="H1389" s="180"/>
    </row>
    <row r="1390" spans="1:8" s="179" customFormat="1" ht="22.5" x14ac:dyDescent="0.25">
      <c r="A1390" s="161"/>
      <c r="B1390" s="50">
        <v>4274</v>
      </c>
      <c r="C1390" s="17" t="s">
        <v>849</v>
      </c>
      <c r="D1390" s="216" t="s">
        <v>180</v>
      </c>
      <c r="E1390" s="71">
        <v>1</v>
      </c>
      <c r="F1390" s="42">
        <v>63.6</v>
      </c>
      <c r="G1390" s="37">
        <f>E1390*F1390</f>
        <v>63.6</v>
      </c>
      <c r="H1390" s="180"/>
    </row>
    <row r="1391" spans="1:8" s="179" customFormat="1" x14ac:dyDescent="0.25">
      <c r="A1391" s="161"/>
      <c r="B1391" s="215"/>
      <c r="C1391" s="25"/>
      <c r="D1391" s="25"/>
      <c r="E1391" s="26"/>
      <c r="F1391" s="27" t="s">
        <v>179</v>
      </c>
      <c r="G1391" s="40">
        <f>SUM(G1390:G1390)</f>
        <v>63.6</v>
      </c>
      <c r="H1391" s="180"/>
    </row>
    <row r="1392" spans="1:8" s="179" customFormat="1" ht="15.75" thickBot="1" x14ac:dyDescent="0.3">
      <c r="A1392" s="161"/>
      <c r="B1392" s="215"/>
      <c r="C1392" s="17"/>
      <c r="D1392" s="25"/>
      <c r="E1392" s="26"/>
      <c r="F1392" s="16"/>
      <c r="G1392" s="43"/>
      <c r="H1392" s="180"/>
    </row>
    <row r="1393" spans="1:8" s="179" customFormat="1" ht="15.75" thickBot="1" x14ac:dyDescent="0.3">
      <c r="A1393" s="161"/>
      <c r="B1393" s="44" t="s">
        <v>240</v>
      </c>
      <c r="C1393" s="45" t="s">
        <v>851</v>
      </c>
      <c r="D1393" s="46"/>
      <c r="E1393" s="47"/>
      <c r="F1393" s="16" t="s">
        <v>178</v>
      </c>
      <c r="G1393" s="113">
        <f>G1388+G1391</f>
        <v>69.368896000000007</v>
      </c>
      <c r="H1393" s="180"/>
    </row>
    <row r="1394" spans="1:8" ht="15.75" thickBot="1" x14ac:dyDescent="0.3">
      <c r="B1394" s="23" t="s">
        <v>98</v>
      </c>
      <c r="C1394" s="22" t="s">
        <v>102</v>
      </c>
      <c r="D1394" s="21"/>
      <c r="E1394" s="21"/>
      <c r="F1394" s="21"/>
      <c r="G1394" s="21"/>
    </row>
    <row r="1395" spans="1:8" x14ac:dyDescent="0.25">
      <c r="B1395" s="30" t="s">
        <v>854</v>
      </c>
      <c r="C1395" s="51" t="s">
        <v>852</v>
      </c>
      <c r="D1395" s="32"/>
      <c r="E1395" s="69" t="s">
        <v>193</v>
      </c>
      <c r="F1395" s="33" t="s">
        <v>192</v>
      </c>
      <c r="G1395" s="34" t="s">
        <v>191</v>
      </c>
    </row>
    <row r="1396" spans="1:8" x14ac:dyDescent="0.25">
      <c r="B1396" s="35" t="s">
        <v>0</v>
      </c>
      <c r="C1396" s="20" t="s">
        <v>1</v>
      </c>
      <c r="D1396" s="20" t="s">
        <v>190</v>
      </c>
      <c r="E1396" s="59" t="s">
        <v>189</v>
      </c>
      <c r="F1396" s="18" t="s">
        <v>188</v>
      </c>
      <c r="G1396" s="64" t="s">
        <v>187</v>
      </c>
    </row>
    <row r="1397" spans="1:8" x14ac:dyDescent="0.25">
      <c r="B1397" s="356" t="s">
        <v>186</v>
      </c>
      <c r="C1397" s="357"/>
      <c r="D1397" s="216"/>
      <c r="E1397" s="26"/>
      <c r="F1397" s="36"/>
      <c r="G1397" s="37"/>
    </row>
    <row r="1398" spans="1:8" x14ac:dyDescent="0.25">
      <c r="B1398" s="50">
        <v>88264</v>
      </c>
      <c r="C1398" s="17" t="s">
        <v>185</v>
      </c>
      <c r="D1398" s="216" t="s">
        <v>184</v>
      </c>
      <c r="E1398" s="41">
        <v>0.25</v>
      </c>
      <c r="F1398" s="42">
        <v>25.71</v>
      </c>
      <c r="G1398" s="37">
        <f>E1398*F1398</f>
        <v>6.4275000000000002</v>
      </c>
    </row>
    <row r="1399" spans="1:8" x14ac:dyDescent="0.25">
      <c r="B1399" s="50">
        <v>88247</v>
      </c>
      <c r="C1399" s="17" t="s">
        <v>197</v>
      </c>
      <c r="D1399" s="216" t="s">
        <v>184</v>
      </c>
      <c r="E1399" s="41">
        <v>0.25</v>
      </c>
      <c r="F1399" s="27">
        <v>19.93</v>
      </c>
      <c r="G1399" s="37">
        <f>E1399*F1399</f>
        <v>4.9824999999999999</v>
      </c>
    </row>
    <row r="1400" spans="1:8" x14ac:dyDescent="0.25">
      <c r="B1400" s="215"/>
      <c r="C1400" s="25"/>
      <c r="D1400" s="25"/>
      <c r="E1400" s="53"/>
      <c r="F1400" s="39" t="s">
        <v>183</v>
      </c>
      <c r="G1400" s="40">
        <f>SUM(G1398:G1399)</f>
        <v>11.41</v>
      </c>
    </row>
    <row r="1401" spans="1:8" x14ac:dyDescent="0.25">
      <c r="B1401" s="358" t="s">
        <v>182</v>
      </c>
      <c r="C1401" s="359"/>
      <c r="D1401" s="216"/>
      <c r="E1401" s="26"/>
      <c r="F1401" s="36"/>
      <c r="G1401" s="37"/>
    </row>
    <row r="1402" spans="1:8" ht="22.5" x14ac:dyDescent="0.25">
      <c r="B1402" s="50">
        <v>38083</v>
      </c>
      <c r="C1402" s="17" t="s">
        <v>853</v>
      </c>
      <c r="D1402" s="216" t="s">
        <v>180</v>
      </c>
      <c r="E1402" s="41">
        <v>1</v>
      </c>
      <c r="F1402" s="42">
        <v>29.95</v>
      </c>
      <c r="G1402" s="37">
        <f>E1402*F1402</f>
        <v>29.95</v>
      </c>
    </row>
    <row r="1403" spans="1:8" x14ac:dyDescent="0.25">
      <c r="B1403" s="215"/>
      <c r="C1403" s="25"/>
      <c r="D1403" s="25"/>
      <c r="E1403" s="26"/>
      <c r="F1403" s="27" t="s">
        <v>179</v>
      </c>
      <c r="G1403" s="40">
        <f>SUM(G1402:G1402)</f>
        <v>29.95</v>
      </c>
    </row>
    <row r="1404" spans="1:8" ht="15.75" thickBot="1" x14ac:dyDescent="0.3">
      <c r="B1404" s="215"/>
      <c r="C1404" s="17"/>
      <c r="D1404" s="25"/>
      <c r="E1404" s="26"/>
      <c r="F1404" s="16"/>
      <c r="G1404" s="43"/>
    </row>
    <row r="1405" spans="1:8" ht="15.75" thickBot="1" x14ac:dyDescent="0.3">
      <c r="B1405" s="44" t="s">
        <v>240</v>
      </c>
      <c r="C1405" s="45" t="s">
        <v>861</v>
      </c>
      <c r="D1405" s="46"/>
      <c r="E1405" s="47"/>
      <c r="F1405" s="16" t="s">
        <v>178</v>
      </c>
      <c r="G1405" s="113">
        <f>G1400+G1403</f>
        <v>41.36</v>
      </c>
    </row>
    <row r="1406" spans="1:8" s="179" customFormat="1" x14ac:dyDescent="0.25">
      <c r="A1406" s="161"/>
      <c r="B1406" s="30" t="s">
        <v>856</v>
      </c>
      <c r="C1406" s="51" t="s">
        <v>855</v>
      </c>
      <c r="D1406" s="32"/>
      <c r="E1406" s="69" t="s">
        <v>862</v>
      </c>
      <c r="F1406" s="33" t="s">
        <v>192</v>
      </c>
      <c r="G1406" s="34" t="s">
        <v>191</v>
      </c>
      <c r="H1406" s="180"/>
    </row>
    <row r="1407" spans="1:8" s="179" customFormat="1" x14ac:dyDescent="0.25">
      <c r="A1407" s="161"/>
      <c r="B1407" s="35" t="s">
        <v>0</v>
      </c>
      <c r="C1407" s="20" t="s">
        <v>1</v>
      </c>
      <c r="D1407" s="20" t="s">
        <v>190</v>
      </c>
      <c r="E1407" s="59" t="s">
        <v>189</v>
      </c>
      <c r="F1407" s="18" t="s">
        <v>188</v>
      </c>
      <c r="G1407" s="64" t="s">
        <v>187</v>
      </c>
      <c r="H1407" s="180"/>
    </row>
    <row r="1408" spans="1:8" s="179" customFormat="1" x14ac:dyDescent="0.25">
      <c r="A1408" s="161"/>
      <c r="B1408" s="358" t="s">
        <v>182</v>
      </c>
      <c r="C1408" s="359"/>
      <c r="D1408" s="216"/>
      <c r="E1408" s="26"/>
      <c r="F1408" s="36"/>
      <c r="G1408" s="37"/>
      <c r="H1408" s="180"/>
    </row>
    <row r="1409" spans="1:8" s="179" customFormat="1" x14ac:dyDescent="0.25">
      <c r="A1409" s="161"/>
      <c r="B1409" s="50">
        <v>39607</v>
      </c>
      <c r="C1409" s="17" t="s">
        <v>859</v>
      </c>
      <c r="D1409" s="216" t="s">
        <v>180</v>
      </c>
      <c r="E1409" s="41">
        <v>1</v>
      </c>
      <c r="F1409" s="42">
        <v>17.55</v>
      </c>
      <c r="G1409" s="37">
        <f>E1409*F1409</f>
        <v>17.55</v>
      </c>
      <c r="H1409" s="180"/>
    </row>
    <row r="1410" spans="1:8" s="179" customFormat="1" x14ac:dyDescent="0.25">
      <c r="A1410" s="161"/>
      <c r="B1410" s="215"/>
      <c r="C1410" s="25"/>
      <c r="D1410" s="25"/>
      <c r="E1410" s="26"/>
      <c r="F1410" s="27" t="s">
        <v>179</v>
      </c>
      <c r="G1410" s="40">
        <f>SUM(G1409:G1409)</f>
        <v>17.55</v>
      </c>
      <c r="H1410" s="180"/>
    </row>
    <row r="1411" spans="1:8" s="179" customFormat="1" ht="15.75" thickBot="1" x14ac:dyDescent="0.3">
      <c r="A1411" s="161"/>
      <c r="B1411" s="215"/>
      <c r="C1411" s="17"/>
      <c r="D1411" s="25"/>
      <c r="E1411" s="26"/>
      <c r="F1411" s="16"/>
      <c r="G1411" s="43"/>
      <c r="H1411" s="180"/>
    </row>
    <row r="1412" spans="1:8" s="179" customFormat="1" ht="15.75" thickBot="1" x14ac:dyDescent="0.3">
      <c r="A1412" s="161"/>
      <c r="B1412" s="44" t="s">
        <v>240</v>
      </c>
      <c r="C1412" s="45" t="s">
        <v>862</v>
      </c>
      <c r="D1412" s="46"/>
      <c r="E1412" s="47"/>
      <c r="F1412" s="16" t="s">
        <v>178</v>
      </c>
      <c r="G1412" s="113">
        <f>+G1410</f>
        <v>17.55</v>
      </c>
      <c r="H1412" s="180"/>
    </row>
    <row r="1413" spans="1:8" s="179" customFormat="1" x14ac:dyDescent="0.25">
      <c r="A1413" s="161"/>
      <c r="B1413" s="30" t="s">
        <v>857</v>
      </c>
      <c r="C1413" s="51" t="s">
        <v>858</v>
      </c>
      <c r="D1413" s="32"/>
      <c r="E1413" s="69" t="s">
        <v>246</v>
      </c>
      <c r="F1413" s="33" t="s">
        <v>192</v>
      </c>
      <c r="G1413" s="34" t="s">
        <v>191</v>
      </c>
      <c r="H1413" s="180"/>
    </row>
    <row r="1414" spans="1:8" s="179" customFormat="1" x14ac:dyDescent="0.25">
      <c r="A1414" s="161"/>
      <c r="B1414" s="35" t="s">
        <v>0</v>
      </c>
      <c r="C1414" s="20" t="s">
        <v>1</v>
      </c>
      <c r="D1414" s="20" t="s">
        <v>190</v>
      </c>
      <c r="E1414" s="59" t="s">
        <v>189</v>
      </c>
      <c r="F1414" s="18" t="s">
        <v>188</v>
      </c>
      <c r="G1414" s="64" t="s">
        <v>187</v>
      </c>
      <c r="H1414" s="180"/>
    </row>
    <row r="1415" spans="1:8" s="179" customFormat="1" x14ac:dyDescent="0.25">
      <c r="A1415" s="161"/>
      <c r="B1415" s="358" t="s">
        <v>182</v>
      </c>
      <c r="C1415" s="359"/>
      <c r="D1415" s="216"/>
      <c r="E1415" s="26"/>
      <c r="F1415" s="36"/>
      <c r="G1415" s="37"/>
      <c r="H1415" s="180"/>
    </row>
    <row r="1416" spans="1:8" s="179" customFormat="1" x14ac:dyDescent="0.25">
      <c r="A1416" s="240"/>
      <c r="B1416" s="50" t="str">
        <f>'MAPA COTAÇÃO'!B135</f>
        <v>COT-26</v>
      </c>
      <c r="C1416" s="17" t="str">
        <f>'MAPA COTAÇÃO'!B140</f>
        <v>PATCH CORD, CATEGORIA 6, EXTENSAO DE 10,00 M</v>
      </c>
      <c r="D1416" s="216" t="str">
        <f>'MAPA COTAÇÃO'!D140</f>
        <v>UNID</v>
      </c>
      <c r="E1416" s="41">
        <v>1</v>
      </c>
      <c r="F1416" s="42">
        <f>'MAPA COTAÇÃO'!J140</f>
        <v>29.4375</v>
      </c>
      <c r="G1416" s="37">
        <f>E1416*F1416</f>
        <v>29.4375</v>
      </c>
      <c r="H1416" s="180"/>
    </row>
    <row r="1417" spans="1:8" s="179" customFormat="1" x14ac:dyDescent="0.25">
      <c r="A1417" s="161"/>
      <c r="B1417" s="215"/>
      <c r="C1417" s="25"/>
      <c r="D1417" s="25"/>
      <c r="E1417" s="26"/>
      <c r="F1417" s="27" t="s">
        <v>179</v>
      </c>
      <c r="G1417" s="40">
        <f>SUM(G1416:G1416)</f>
        <v>29.4375</v>
      </c>
      <c r="H1417" s="180"/>
    </row>
    <row r="1418" spans="1:8" s="179" customFormat="1" ht="15.75" thickBot="1" x14ac:dyDescent="0.3">
      <c r="A1418" s="161"/>
      <c r="B1418" s="215"/>
      <c r="C1418" s="17" t="s">
        <v>682</v>
      </c>
      <c r="D1418" s="25"/>
      <c r="E1418" s="26"/>
      <c r="F1418" s="16"/>
      <c r="G1418" s="43"/>
      <c r="H1418" s="180"/>
    </row>
    <row r="1419" spans="1:8" s="179" customFormat="1" ht="15.75" thickBot="1" x14ac:dyDescent="0.3">
      <c r="A1419" s="161"/>
      <c r="B1419" s="44" t="s">
        <v>240</v>
      </c>
      <c r="C1419" s="45" t="s">
        <v>246</v>
      </c>
      <c r="D1419" s="46"/>
      <c r="E1419" s="47"/>
      <c r="F1419" s="16" t="s">
        <v>178</v>
      </c>
      <c r="G1419" s="113">
        <f>+G1417</f>
        <v>29.4375</v>
      </c>
      <c r="H1419" s="180"/>
    </row>
    <row r="1420" spans="1:8" s="179" customFormat="1" x14ac:dyDescent="0.25">
      <c r="A1420" s="161"/>
      <c r="B1420" s="30" t="s">
        <v>1044</v>
      </c>
      <c r="C1420" s="51" t="s">
        <v>864</v>
      </c>
      <c r="D1420" s="32"/>
      <c r="E1420" s="69" t="s">
        <v>246</v>
      </c>
      <c r="F1420" s="33" t="s">
        <v>192</v>
      </c>
      <c r="G1420" s="34" t="s">
        <v>191</v>
      </c>
      <c r="H1420" s="180"/>
    </row>
    <row r="1421" spans="1:8" s="179" customFormat="1" x14ac:dyDescent="0.25">
      <c r="A1421" s="161"/>
      <c r="B1421" s="35" t="s">
        <v>0</v>
      </c>
      <c r="C1421" s="20" t="s">
        <v>1</v>
      </c>
      <c r="D1421" s="20" t="s">
        <v>190</v>
      </c>
      <c r="E1421" s="59" t="s">
        <v>189</v>
      </c>
      <c r="F1421" s="18" t="s">
        <v>188</v>
      </c>
      <c r="G1421" s="64" t="s">
        <v>187</v>
      </c>
      <c r="H1421" s="180"/>
    </row>
    <row r="1422" spans="1:8" s="179" customFormat="1" x14ac:dyDescent="0.25">
      <c r="A1422" s="161"/>
      <c r="B1422" s="358" t="s">
        <v>182</v>
      </c>
      <c r="C1422" s="359"/>
      <c r="D1422" s="216"/>
      <c r="E1422" s="26"/>
      <c r="F1422" s="36"/>
      <c r="G1422" s="37"/>
      <c r="H1422" s="180"/>
    </row>
    <row r="1423" spans="1:8" s="179" customFormat="1" x14ac:dyDescent="0.25">
      <c r="A1423" s="240"/>
      <c r="B1423" s="50" t="str">
        <f>'MAPA COTAÇÃO'!B142</f>
        <v>COT-27</v>
      </c>
      <c r="C1423" s="17" t="str">
        <f>'MAPA COTAÇÃO'!B147</f>
        <v>ORGANIZADOR DE CABOS HORIZONTAL, ABERTO, PADRÃO RACK 19"</v>
      </c>
      <c r="D1423" s="216" t="str">
        <f>'MAPA COTAÇÃO'!D147</f>
        <v>UNID</v>
      </c>
      <c r="E1423" s="41">
        <v>1</v>
      </c>
      <c r="F1423" s="42">
        <f>'MAPA COTAÇÃO'!J147</f>
        <v>64.344999999999999</v>
      </c>
      <c r="G1423" s="37">
        <f>E1423*F1423</f>
        <v>64.344999999999999</v>
      </c>
      <c r="H1423" s="180"/>
    </row>
    <row r="1424" spans="1:8" s="179" customFormat="1" x14ac:dyDescent="0.25">
      <c r="A1424" s="161"/>
      <c r="B1424" s="215"/>
      <c r="C1424" s="25"/>
      <c r="D1424" s="25"/>
      <c r="E1424" s="26"/>
      <c r="F1424" s="27" t="s">
        <v>179</v>
      </c>
      <c r="G1424" s="40">
        <f>SUM(G1423:G1423)</f>
        <v>64.344999999999999</v>
      </c>
      <c r="H1424" s="180"/>
    </row>
    <row r="1425" spans="1:8" s="179" customFormat="1" ht="15.75" thickBot="1" x14ac:dyDescent="0.3">
      <c r="A1425" s="161"/>
      <c r="B1425" s="215"/>
      <c r="C1425" s="17" t="s">
        <v>682</v>
      </c>
      <c r="D1425" s="25"/>
      <c r="E1425" s="26"/>
      <c r="F1425" s="16"/>
      <c r="G1425" s="43"/>
      <c r="H1425" s="180"/>
    </row>
    <row r="1426" spans="1:8" s="179" customFormat="1" ht="15.75" thickBot="1" x14ac:dyDescent="0.3">
      <c r="A1426" s="161"/>
      <c r="B1426" s="44" t="s">
        <v>240</v>
      </c>
      <c r="C1426" s="45" t="s">
        <v>246</v>
      </c>
      <c r="D1426" s="46"/>
      <c r="E1426" s="47"/>
      <c r="F1426" s="16" t="s">
        <v>178</v>
      </c>
      <c r="G1426" s="113">
        <f>+G1424</f>
        <v>64.344999999999999</v>
      </c>
      <c r="H1426" s="180"/>
    </row>
    <row r="1427" spans="1:8" ht="15.75" thickBot="1" x14ac:dyDescent="0.3">
      <c r="B1427" s="23" t="s">
        <v>668</v>
      </c>
      <c r="C1427" s="22" t="s">
        <v>669</v>
      </c>
      <c r="D1427" s="21"/>
      <c r="E1427" s="21"/>
      <c r="F1427" s="21"/>
      <c r="G1427" s="21"/>
    </row>
    <row r="1428" spans="1:8" x14ac:dyDescent="0.25">
      <c r="B1428" s="30" t="s">
        <v>670</v>
      </c>
      <c r="C1428" s="51" t="s">
        <v>1100</v>
      </c>
      <c r="D1428" s="32"/>
      <c r="E1428" s="69" t="s">
        <v>193</v>
      </c>
      <c r="F1428" s="33" t="s">
        <v>192</v>
      </c>
      <c r="G1428" s="34" t="s">
        <v>666</v>
      </c>
    </row>
    <row r="1429" spans="1:8" x14ac:dyDescent="0.25">
      <c r="B1429" s="35" t="s">
        <v>0</v>
      </c>
      <c r="C1429" s="20" t="s">
        <v>1</v>
      </c>
      <c r="D1429" s="20" t="s">
        <v>190</v>
      </c>
      <c r="E1429" s="59" t="s">
        <v>189</v>
      </c>
      <c r="F1429" s="18" t="s">
        <v>188</v>
      </c>
      <c r="G1429" s="64" t="s">
        <v>187</v>
      </c>
    </row>
    <row r="1430" spans="1:8" x14ac:dyDescent="0.25">
      <c r="B1430" s="356" t="s">
        <v>186</v>
      </c>
      <c r="C1430" s="357"/>
      <c r="D1430" s="216"/>
      <c r="E1430" s="26"/>
      <c r="F1430" s="36"/>
      <c r="G1430" s="37"/>
    </row>
    <row r="1431" spans="1:8" x14ac:dyDescent="0.25">
      <c r="A1431" s="240"/>
      <c r="B1431" s="50" t="str">
        <f>'MAPA COTAÇÃO'!B167</f>
        <v>COT- 33</v>
      </c>
      <c r="C1431" s="17" t="str">
        <f>'MAPA COTAÇÃO'!B172</f>
        <v>HORA TECNICA (1ª HORA)</v>
      </c>
      <c r="D1431" s="216" t="str">
        <f>'MAPA COTAÇÃO'!D172</f>
        <v>H</v>
      </c>
      <c r="E1431" s="41">
        <v>1</v>
      </c>
      <c r="F1431" s="42">
        <f>'MAPA COTAÇÃO'!J172</f>
        <v>200</v>
      </c>
      <c r="G1431" s="37">
        <f>E1431*F1431</f>
        <v>200</v>
      </c>
    </row>
    <row r="1432" spans="1:8" s="179" customFormat="1" x14ac:dyDescent="0.25">
      <c r="A1432" s="240"/>
      <c r="B1432" s="50" t="str">
        <f>'MAPA COTAÇÃO'!B168</f>
        <v>COT- 34</v>
      </c>
      <c r="C1432" s="17" t="str">
        <f>'MAPA COTAÇÃO'!B173</f>
        <v>HORA TECNICA (2ª HORA EM DIANTE)</v>
      </c>
      <c r="D1432" s="220" t="str">
        <f>'MAPA COTAÇÃO'!D173</f>
        <v>H</v>
      </c>
      <c r="E1432" s="41">
        <v>2</v>
      </c>
      <c r="F1432" s="42">
        <f>'MAPA COTAÇÃO'!J173</f>
        <v>100</v>
      </c>
      <c r="G1432" s="37">
        <f>E1432*F1432</f>
        <v>200</v>
      </c>
      <c r="H1432" s="180"/>
    </row>
    <row r="1433" spans="1:8" x14ac:dyDescent="0.25">
      <c r="B1433" s="215"/>
      <c r="C1433" s="25"/>
      <c r="D1433" s="25"/>
      <c r="E1433" s="53"/>
      <c r="F1433" s="39" t="s">
        <v>183</v>
      </c>
      <c r="G1433" s="40">
        <f>SUM(G1431:G1432)</f>
        <v>400</v>
      </c>
    </row>
    <row r="1434" spans="1:8" ht="15.75" thickBot="1" x14ac:dyDescent="0.3">
      <c r="B1434" s="215"/>
      <c r="C1434" s="17" t="s">
        <v>682</v>
      </c>
      <c r="D1434" s="25"/>
      <c r="E1434" s="26"/>
      <c r="F1434" s="16"/>
      <c r="G1434" s="43"/>
    </row>
    <row r="1435" spans="1:8" ht="15.75" thickBot="1" x14ac:dyDescent="0.3">
      <c r="B1435" s="44" t="s">
        <v>240</v>
      </c>
      <c r="C1435" s="45" t="s">
        <v>193</v>
      </c>
      <c r="D1435" s="46"/>
      <c r="E1435" s="47"/>
      <c r="F1435" s="16" t="s">
        <v>178</v>
      </c>
      <c r="G1435" s="113">
        <f>G1433</f>
        <v>400</v>
      </c>
    </row>
    <row r="1436" spans="1:8" s="179" customFormat="1" x14ac:dyDescent="0.25">
      <c r="A1436" s="161"/>
      <c r="B1436" s="30" t="s">
        <v>1099</v>
      </c>
      <c r="C1436" s="51" t="s">
        <v>961</v>
      </c>
      <c r="D1436" s="32"/>
      <c r="E1436" s="69" t="s">
        <v>246</v>
      </c>
      <c r="F1436" s="33" t="s">
        <v>192</v>
      </c>
      <c r="G1436" s="34" t="s">
        <v>191</v>
      </c>
      <c r="H1436" s="180"/>
    </row>
    <row r="1437" spans="1:8" s="179" customFormat="1" x14ac:dyDescent="0.25">
      <c r="A1437" s="161"/>
      <c r="B1437" s="35" t="s">
        <v>0</v>
      </c>
      <c r="C1437" s="20" t="s">
        <v>1</v>
      </c>
      <c r="D1437" s="20" t="s">
        <v>190</v>
      </c>
      <c r="E1437" s="59" t="s">
        <v>189</v>
      </c>
      <c r="F1437" s="18" t="s">
        <v>188</v>
      </c>
      <c r="G1437" s="64" t="s">
        <v>187</v>
      </c>
      <c r="H1437" s="180"/>
    </row>
    <row r="1438" spans="1:8" s="179" customFormat="1" x14ac:dyDescent="0.25">
      <c r="A1438" s="161"/>
      <c r="B1438" s="356" t="s">
        <v>182</v>
      </c>
      <c r="C1438" s="357"/>
      <c r="D1438" s="216"/>
      <c r="E1438" s="26"/>
      <c r="F1438" s="36"/>
      <c r="G1438" s="37"/>
      <c r="H1438" s="180"/>
    </row>
    <row r="1439" spans="1:8" s="179" customFormat="1" x14ac:dyDescent="0.25">
      <c r="A1439" s="240"/>
      <c r="B1439" s="50" t="str">
        <f>'MAPA COTAÇÃO'!B149</f>
        <v>COT- 28</v>
      </c>
      <c r="C1439" s="17" t="str">
        <f>'MAPA COTAÇÃO'!B154</f>
        <v>CABO PARA TELEFONIA ESPIRAL 1,80M</v>
      </c>
      <c r="D1439" s="216" t="str">
        <f>'MAPA COTAÇÃO'!D154</f>
        <v>UNID.</v>
      </c>
      <c r="E1439" s="41">
        <v>1</v>
      </c>
      <c r="F1439" s="42">
        <f>'MAPA COTAÇÃO'!J154</f>
        <v>5.6</v>
      </c>
      <c r="G1439" s="37">
        <f>E1439*F1439</f>
        <v>5.6</v>
      </c>
      <c r="H1439" s="180"/>
    </row>
    <row r="1440" spans="1:8" s="179" customFormat="1" x14ac:dyDescent="0.25">
      <c r="A1440" s="161"/>
      <c r="B1440" s="215"/>
      <c r="C1440" s="25"/>
      <c r="D1440" s="25"/>
      <c r="E1440" s="53"/>
      <c r="F1440" s="39" t="s">
        <v>962</v>
      </c>
      <c r="G1440" s="40">
        <f>SUM(G1439:G1439)</f>
        <v>5.6</v>
      </c>
      <c r="H1440" s="180"/>
    </row>
    <row r="1441" spans="1:8" s="179" customFormat="1" ht="15.75" thickBot="1" x14ac:dyDescent="0.3">
      <c r="A1441" s="161"/>
      <c r="B1441" s="215"/>
      <c r="C1441" s="17" t="s">
        <v>682</v>
      </c>
      <c r="D1441" s="25"/>
      <c r="E1441" s="26"/>
      <c r="F1441" s="16"/>
      <c r="G1441" s="43"/>
      <c r="H1441" s="180"/>
    </row>
    <row r="1442" spans="1:8" s="179" customFormat="1" ht="15.75" thickBot="1" x14ac:dyDescent="0.3">
      <c r="A1442" s="161"/>
      <c r="B1442" s="44" t="s">
        <v>240</v>
      </c>
      <c r="C1442" s="45" t="s">
        <v>246</v>
      </c>
      <c r="D1442" s="46"/>
      <c r="E1442" s="47"/>
      <c r="F1442" s="16" t="s">
        <v>178</v>
      </c>
      <c r="G1442" s="113">
        <f>G1440</f>
        <v>5.6</v>
      </c>
      <c r="H1442" s="180"/>
    </row>
    <row r="1443" spans="1:8" s="179" customFormat="1" ht="15.75" thickBot="1" x14ac:dyDescent="0.3">
      <c r="A1443" s="161"/>
      <c r="B1443" s="23" t="s">
        <v>95</v>
      </c>
      <c r="C1443" s="22" t="s">
        <v>29</v>
      </c>
      <c r="D1443" s="21"/>
      <c r="E1443" s="21"/>
      <c r="F1443" s="21"/>
      <c r="G1443" s="21"/>
      <c r="H1443" s="180"/>
    </row>
    <row r="1444" spans="1:8" x14ac:dyDescent="0.25">
      <c r="B1444" s="30" t="s">
        <v>168</v>
      </c>
      <c r="C1444" s="51" t="s">
        <v>865</v>
      </c>
      <c r="D1444" s="32"/>
      <c r="E1444" s="69" t="s">
        <v>193</v>
      </c>
      <c r="F1444" s="33" t="s">
        <v>192</v>
      </c>
      <c r="G1444" s="34" t="s">
        <v>357</v>
      </c>
    </row>
    <row r="1445" spans="1:8" x14ac:dyDescent="0.25">
      <c r="B1445" s="35" t="s">
        <v>0</v>
      </c>
      <c r="C1445" s="20" t="s">
        <v>1</v>
      </c>
      <c r="D1445" s="20" t="s">
        <v>190</v>
      </c>
      <c r="E1445" s="59" t="s">
        <v>189</v>
      </c>
      <c r="F1445" s="18" t="s">
        <v>188</v>
      </c>
      <c r="G1445" s="64" t="s">
        <v>187</v>
      </c>
    </row>
    <row r="1446" spans="1:8" x14ac:dyDescent="0.25">
      <c r="B1446" s="356" t="s">
        <v>186</v>
      </c>
      <c r="C1446" s="357"/>
      <c r="D1446" s="216"/>
      <c r="E1446" s="26"/>
      <c r="F1446" s="36"/>
      <c r="G1446" s="37"/>
    </row>
    <row r="1447" spans="1:8" x14ac:dyDescent="0.25">
      <c r="B1447" s="50">
        <v>88243</v>
      </c>
      <c r="C1447" s="17" t="s">
        <v>395</v>
      </c>
      <c r="D1447" s="216" t="s">
        <v>184</v>
      </c>
      <c r="E1447" s="71">
        <v>6</v>
      </c>
      <c r="F1447" s="27">
        <v>17.29</v>
      </c>
      <c r="G1447" s="37">
        <f>E1447*F1447</f>
        <v>103.74</v>
      </c>
    </row>
    <row r="1448" spans="1:8" s="179" customFormat="1" x14ac:dyDescent="0.25">
      <c r="A1448" s="161"/>
      <c r="B1448" s="50">
        <v>88279</v>
      </c>
      <c r="C1448" s="17" t="s">
        <v>622</v>
      </c>
      <c r="D1448" s="216" t="s">
        <v>184</v>
      </c>
      <c r="E1448" s="71">
        <v>6</v>
      </c>
      <c r="F1448" s="42">
        <v>34.01</v>
      </c>
      <c r="G1448" s="37">
        <f>E1448*F1448</f>
        <v>204.06</v>
      </c>
      <c r="H1448" s="180"/>
    </row>
    <row r="1449" spans="1:8" s="179" customFormat="1" x14ac:dyDescent="0.25">
      <c r="A1449" s="161"/>
      <c r="B1449" s="50"/>
      <c r="C1449" s="17"/>
      <c r="D1449" s="216"/>
      <c r="E1449" s="71"/>
      <c r="F1449" s="39" t="s">
        <v>183</v>
      </c>
      <c r="G1449" s="40">
        <f>SUM(G1447:G1448)</f>
        <v>307.8</v>
      </c>
      <c r="H1449" s="180"/>
    </row>
    <row r="1450" spans="1:8" x14ac:dyDescent="0.25">
      <c r="B1450" s="358" t="s">
        <v>182</v>
      </c>
      <c r="C1450" s="359"/>
      <c r="D1450" s="25"/>
      <c r="E1450" s="53"/>
      <c r="F1450" s="53"/>
      <c r="G1450" s="205"/>
    </row>
    <row r="1451" spans="1:8" s="179" customFormat="1" x14ac:dyDescent="0.25">
      <c r="A1451" s="161"/>
      <c r="B1451" s="50"/>
      <c r="C1451" s="17" t="s">
        <v>1012</v>
      </c>
      <c r="D1451" s="216" t="s">
        <v>1013</v>
      </c>
      <c r="E1451" s="204">
        <v>0.2</v>
      </c>
      <c r="F1451" s="42">
        <f>G1449</f>
        <v>307.8</v>
      </c>
      <c r="G1451" s="37">
        <f>E1451*F1451</f>
        <v>61.56</v>
      </c>
      <c r="H1451" s="180"/>
    </row>
    <row r="1452" spans="1:8" s="179" customFormat="1" x14ac:dyDescent="0.25">
      <c r="A1452" s="161"/>
      <c r="B1452" s="215"/>
      <c r="C1452" s="25"/>
      <c r="D1452" s="25"/>
      <c r="E1452" s="53"/>
      <c r="F1452" s="39" t="s">
        <v>1011</v>
      </c>
      <c r="G1452" s="40">
        <f>SUM(G1451:G1451)</f>
        <v>61.56</v>
      </c>
      <c r="H1452" s="180"/>
    </row>
    <row r="1453" spans="1:8" ht="15.75" thickBot="1" x14ac:dyDescent="0.3">
      <c r="B1453" s="215"/>
      <c r="C1453" s="17"/>
      <c r="D1453" s="25"/>
      <c r="E1453" s="26"/>
      <c r="F1453" s="16"/>
      <c r="G1453" s="43"/>
    </row>
    <row r="1454" spans="1:8" ht="15.75" thickBot="1" x14ac:dyDescent="0.3">
      <c r="B1454" s="44" t="s">
        <v>240</v>
      </c>
      <c r="C1454" s="45" t="s">
        <v>193</v>
      </c>
      <c r="D1454" s="46"/>
      <c r="E1454" s="47"/>
      <c r="F1454" s="16" t="s">
        <v>178</v>
      </c>
      <c r="G1454" s="113">
        <f>G1449+G1452</f>
        <v>369.36</v>
      </c>
    </row>
    <row r="1455" spans="1:8" s="179" customFormat="1" ht="15.75" thickBot="1" x14ac:dyDescent="0.3">
      <c r="A1455" s="161"/>
      <c r="B1455" s="23" t="s">
        <v>1005</v>
      </c>
      <c r="C1455" s="22" t="s">
        <v>1006</v>
      </c>
      <c r="D1455" s="21"/>
      <c r="E1455" s="21"/>
      <c r="F1455" s="21"/>
      <c r="G1455" s="21"/>
      <c r="H1455" s="180"/>
    </row>
    <row r="1456" spans="1:8" s="179" customFormat="1" x14ac:dyDescent="0.25">
      <c r="A1456" s="161"/>
      <c r="B1456" s="30" t="s">
        <v>1008</v>
      </c>
      <c r="C1456" s="51" t="s">
        <v>1009</v>
      </c>
      <c r="D1456" s="32"/>
      <c r="E1456" s="69" t="s">
        <v>193</v>
      </c>
      <c r="F1456" s="33" t="s">
        <v>192</v>
      </c>
      <c r="G1456" s="34" t="s">
        <v>357</v>
      </c>
      <c r="H1456" s="180"/>
    </row>
    <row r="1457" spans="1:8" s="179" customFormat="1" x14ac:dyDescent="0.25">
      <c r="A1457" s="161"/>
      <c r="B1457" s="35" t="s">
        <v>0</v>
      </c>
      <c r="C1457" s="20" t="s">
        <v>1</v>
      </c>
      <c r="D1457" s="20" t="s">
        <v>190</v>
      </c>
      <c r="E1457" s="59" t="s">
        <v>189</v>
      </c>
      <c r="F1457" s="18" t="s">
        <v>188</v>
      </c>
      <c r="G1457" s="64" t="s">
        <v>187</v>
      </c>
      <c r="H1457" s="180"/>
    </row>
    <row r="1458" spans="1:8" s="179" customFormat="1" x14ac:dyDescent="0.25">
      <c r="A1458" s="161"/>
      <c r="B1458" s="356" t="s">
        <v>186</v>
      </c>
      <c r="C1458" s="357"/>
      <c r="D1458" s="216"/>
      <c r="E1458" s="26"/>
      <c r="F1458" s="36"/>
      <c r="G1458" s="37"/>
      <c r="H1458" s="180"/>
    </row>
    <row r="1459" spans="1:8" s="179" customFormat="1" x14ac:dyDescent="0.25">
      <c r="A1459" s="161"/>
      <c r="B1459" s="50">
        <v>88264</v>
      </c>
      <c r="C1459" s="17" t="s">
        <v>185</v>
      </c>
      <c r="D1459" s="216" t="s">
        <v>184</v>
      </c>
      <c r="E1459" s="41">
        <v>2.5</v>
      </c>
      <c r="F1459" s="42">
        <v>25.71</v>
      </c>
      <c r="G1459" s="37">
        <f>E1459*F1459</f>
        <v>64.275000000000006</v>
      </c>
      <c r="H1459" s="180"/>
    </row>
    <row r="1460" spans="1:8" s="179" customFormat="1" x14ac:dyDescent="0.25">
      <c r="A1460" s="161"/>
      <c r="B1460" s="50">
        <v>88267</v>
      </c>
      <c r="C1460" s="17" t="s">
        <v>210</v>
      </c>
      <c r="D1460" s="216" t="s">
        <v>184</v>
      </c>
      <c r="E1460" s="41">
        <v>2.5</v>
      </c>
      <c r="F1460" s="27">
        <v>21.67</v>
      </c>
      <c r="G1460" s="37">
        <f>E1460*F1460</f>
        <v>54.175000000000004</v>
      </c>
      <c r="H1460" s="180"/>
    </row>
    <row r="1461" spans="1:8" s="179" customFormat="1" x14ac:dyDescent="0.25">
      <c r="A1461" s="161"/>
      <c r="B1461" s="50">
        <v>88243</v>
      </c>
      <c r="C1461" s="17" t="s">
        <v>395</v>
      </c>
      <c r="D1461" s="216" t="s">
        <v>184</v>
      </c>
      <c r="E1461" s="54">
        <v>5</v>
      </c>
      <c r="F1461" s="27">
        <v>17.29</v>
      </c>
      <c r="G1461" s="37">
        <f>E1461*F1461</f>
        <v>86.449999999999989</v>
      </c>
      <c r="H1461" s="180"/>
    </row>
    <row r="1462" spans="1:8" s="179" customFormat="1" x14ac:dyDescent="0.25">
      <c r="A1462" s="161"/>
      <c r="B1462" s="215"/>
      <c r="C1462" s="25"/>
      <c r="D1462" s="25"/>
      <c r="E1462" s="53"/>
      <c r="F1462" s="39" t="s">
        <v>183</v>
      </c>
      <c r="G1462" s="40">
        <f>SUM(G1459:G1461)</f>
        <v>204.9</v>
      </c>
      <c r="H1462" s="180"/>
    </row>
    <row r="1463" spans="1:8" s="179" customFormat="1" x14ac:dyDescent="0.25">
      <c r="A1463" s="161"/>
      <c r="B1463" s="358" t="s">
        <v>182</v>
      </c>
      <c r="C1463" s="359"/>
      <c r="D1463" s="216"/>
      <c r="E1463" s="26"/>
      <c r="F1463" s="36"/>
      <c r="G1463" s="37"/>
      <c r="H1463" s="180"/>
    </row>
    <row r="1464" spans="1:8" s="179" customFormat="1" x14ac:dyDescent="0.25">
      <c r="A1464" s="161"/>
      <c r="B1464" s="50">
        <v>4222</v>
      </c>
      <c r="C1464" s="17" t="s">
        <v>1007</v>
      </c>
      <c r="D1464" s="216" t="s">
        <v>213</v>
      </c>
      <c r="E1464" s="41">
        <v>5</v>
      </c>
      <c r="F1464" s="42">
        <v>4</v>
      </c>
      <c r="G1464" s="37">
        <f>E1464*F1464</f>
        <v>20</v>
      </c>
      <c r="H1464" s="180"/>
    </row>
    <row r="1465" spans="1:8" s="179" customFormat="1" x14ac:dyDescent="0.25">
      <c r="A1465" s="161"/>
      <c r="B1465" s="215"/>
      <c r="C1465" s="25"/>
      <c r="D1465" s="25"/>
      <c r="E1465" s="53"/>
      <c r="F1465" s="39" t="s">
        <v>1011</v>
      </c>
      <c r="G1465" s="40">
        <f>SUM(G1464:G1464)</f>
        <v>20</v>
      </c>
      <c r="H1465" s="180"/>
    </row>
    <row r="1466" spans="1:8" s="179" customFormat="1" ht="15.75" thickBot="1" x14ac:dyDescent="0.3">
      <c r="A1466" s="161"/>
      <c r="B1466" s="215"/>
      <c r="C1466" s="17"/>
      <c r="D1466" s="25"/>
      <c r="E1466" s="26"/>
      <c r="F1466" s="16"/>
      <c r="G1466" s="43"/>
      <c r="H1466" s="180"/>
    </row>
    <row r="1467" spans="1:8" s="179" customFormat="1" ht="15.75" thickBot="1" x14ac:dyDescent="0.3">
      <c r="A1467" s="161"/>
      <c r="B1467" s="44" t="s">
        <v>240</v>
      </c>
      <c r="C1467" s="45" t="s">
        <v>193</v>
      </c>
      <c r="D1467" s="46"/>
      <c r="E1467" s="47"/>
      <c r="F1467" s="16" t="s">
        <v>178</v>
      </c>
      <c r="G1467" s="113">
        <f>G1462+G1465</f>
        <v>224.9</v>
      </c>
      <c r="H1467" s="180"/>
    </row>
    <row r="1468" spans="1:8" s="179" customFormat="1" ht="15" customHeight="1" x14ac:dyDescent="0.25">
      <c r="A1468" s="161"/>
      <c r="B1468" s="60">
        <v>2</v>
      </c>
      <c r="C1468" s="61" t="s">
        <v>1014</v>
      </c>
      <c r="D1468" s="62"/>
      <c r="E1468" s="62"/>
      <c r="F1468" s="62"/>
      <c r="G1468" s="62"/>
      <c r="H1468" s="244"/>
    </row>
    <row r="1469" spans="1:8" s="179" customFormat="1" x14ac:dyDescent="0.25">
      <c r="A1469" s="161"/>
      <c r="B1469" s="23" t="s">
        <v>8</v>
      </c>
      <c r="C1469" s="22" t="s">
        <v>366</v>
      </c>
      <c r="D1469" s="21"/>
      <c r="E1469" s="21"/>
      <c r="F1469" s="21"/>
      <c r="G1469" s="21"/>
      <c r="H1469" s="180"/>
    </row>
    <row r="1470" spans="1:8" s="179" customFormat="1" ht="15.75" thickBot="1" x14ac:dyDescent="0.3">
      <c r="A1470" s="161"/>
      <c r="B1470" s="23" t="s">
        <v>113</v>
      </c>
      <c r="C1470" s="22" t="s">
        <v>29</v>
      </c>
      <c r="D1470" s="21"/>
      <c r="E1470" s="21"/>
      <c r="F1470" s="21"/>
      <c r="G1470" s="21"/>
      <c r="H1470" s="180"/>
    </row>
    <row r="1471" spans="1:8" s="179" customFormat="1" x14ac:dyDescent="0.25">
      <c r="A1471" s="161"/>
      <c r="B1471" s="30" t="s">
        <v>369</v>
      </c>
      <c r="C1471" s="51" t="s">
        <v>367</v>
      </c>
      <c r="D1471" s="32"/>
      <c r="E1471" s="69" t="s">
        <v>193</v>
      </c>
      <c r="F1471" s="33" t="s">
        <v>192</v>
      </c>
      <c r="G1471" s="34" t="s">
        <v>666</v>
      </c>
      <c r="H1471" s="180"/>
    </row>
    <row r="1472" spans="1:8" s="179" customFormat="1" x14ac:dyDescent="0.25">
      <c r="A1472" s="161"/>
      <c r="B1472" s="35" t="s">
        <v>0</v>
      </c>
      <c r="C1472" s="20" t="s">
        <v>1</v>
      </c>
      <c r="D1472" s="20" t="s">
        <v>190</v>
      </c>
      <c r="E1472" s="59" t="s">
        <v>189</v>
      </c>
      <c r="F1472" s="18" t="s">
        <v>188</v>
      </c>
      <c r="G1472" s="64" t="s">
        <v>187</v>
      </c>
      <c r="H1472" s="180"/>
    </row>
    <row r="1473" spans="1:8" s="179" customFormat="1" x14ac:dyDescent="0.25">
      <c r="A1473" s="161"/>
      <c r="B1473" s="356" t="s">
        <v>186</v>
      </c>
      <c r="C1473" s="357"/>
      <c r="D1473" s="216"/>
      <c r="E1473" s="26"/>
      <c r="F1473" s="36"/>
      <c r="G1473" s="37"/>
      <c r="H1473" s="180"/>
    </row>
    <row r="1474" spans="1:8" s="179" customFormat="1" x14ac:dyDescent="0.25">
      <c r="A1474" s="161"/>
      <c r="B1474" s="50">
        <v>90778</v>
      </c>
      <c r="C1474" s="17" t="s">
        <v>1015</v>
      </c>
      <c r="D1474" s="216" t="s">
        <v>184</v>
      </c>
      <c r="E1474" s="71">
        <v>5</v>
      </c>
      <c r="F1474" s="42">
        <v>104.87</v>
      </c>
      <c r="G1474" s="37">
        <f>E1474*F1474</f>
        <v>524.35</v>
      </c>
      <c r="H1474" s="180"/>
    </row>
    <row r="1475" spans="1:8" s="179" customFormat="1" x14ac:dyDescent="0.25">
      <c r="A1475" s="161"/>
      <c r="B1475" s="50"/>
      <c r="C1475" s="17"/>
      <c r="D1475" s="216"/>
      <c r="E1475" s="71"/>
      <c r="F1475" s="39" t="s">
        <v>183</v>
      </c>
      <c r="G1475" s="40">
        <f>SUM(G1474:G1474)</f>
        <v>524.35</v>
      </c>
      <c r="H1475" s="180"/>
    </row>
    <row r="1476" spans="1:8" s="179" customFormat="1" x14ac:dyDescent="0.25">
      <c r="A1476" s="161"/>
      <c r="B1476" s="358" t="s">
        <v>182</v>
      </c>
      <c r="C1476" s="359"/>
      <c r="D1476" s="25"/>
      <c r="E1476" s="53"/>
      <c r="F1476" s="53"/>
      <c r="G1476" s="205"/>
      <c r="H1476" s="180"/>
    </row>
    <row r="1477" spans="1:8" s="179" customFormat="1" x14ac:dyDescent="0.25">
      <c r="A1477" s="161"/>
      <c r="B1477" s="50" t="s">
        <v>1018</v>
      </c>
      <c r="C1477" s="17" t="s">
        <v>1016</v>
      </c>
      <c r="D1477" s="216" t="s">
        <v>1017</v>
      </c>
      <c r="E1477" s="206">
        <v>1</v>
      </c>
      <c r="F1477" s="42">
        <v>82.94</v>
      </c>
      <c r="G1477" s="37">
        <f>E1477*F1477</f>
        <v>82.94</v>
      </c>
      <c r="H1477" s="180"/>
    </row>
    <row r="1478" spans="1:8" s="179" customFormat="1" x14ac:dyDescent="0.25">
      <c r="A1478" s="161"/>
      <c r="B1478" s="215"/>
      <c r="C1478" s="25"/>
      <c r="D1478" s="25"/>
      <c r="E1478" s="53"/>
      <c r="F1478" s="39" t="s">
        <v>1011</v>
      </c>
      <c r="G1478" s="40">
        <f>SUM(G1477:G1477)</f>
        <v>82.94</v>
      </c>
      <c r="H1478" s="180"/>
    </row>
    <row r="1479" spans="1:8" s="179" customFormat="1" ht="15.75" thickBot="1" x14ac:dyDescent="0.3">
      <c r="A1479" s="161"/>
      <c r="B1479" s="215"/>
      <c r="C1479" s="17"/>
      <c r="D1479" s="25"/>
      <c r="E1479" s="26"/>
      <c r="F1479" s="16"/>
      <c r="G1479" s="43"/>
      <c r="H1479" s="180"/>
    </row>
    <row r="1480" spans="1:8" s="179" customFormat="1" ht="15.75" thickBot="1" x14ac:dyDescent="0.3">
      <c r="A1480" s="161"/>
      <c r="B1480" s="44" t="s">
        <v>240</v>
      </c>
      <c r="C1480" s="45" t="s">
        <v>193</v>
      </c>
      <c r="D1480" s="46"/>
      <c r="E1480" s="47"/>
      <c r="F1480" s="16" t="s">
        <v>178</v>
      </c>
      <c r="G1480" s="113">
        <f>G1475+G1478</f>
        <v>607.29</v>
      </c>
      <c r="H1480" s="180"/>
    </row>
    <row r="1481" spans="1:8" s="179" customFormat="1" x14ac:dyDescent="0.25">
      <c r="A1481" s="161"/>
      <c r="B1481" s="23" t="s">
        <v>9</v>
      </c>
      <c r="C1481" s="22" t="s">
        <v>359</v>
      </c>
      <c r="D1481" s="21"/>
      <c r="E1481" s="21"/>
      <c r="F1481" s="21"/>
      <c r="G1481" s="21"/>
      <c r="H1481" s="180"/>
    </row>
    <row r="1482" spans="1:8" s="179" customFormat="1" ht="15.75" thickBot="1" x14ac:dyDescent="0.3">
      <c r="A1482" s="161"/>
      <c r="B1482" s="23" t="s">
        <v>109</v>
      </c>
      <c r="C1482" s="22" t="s">
        <v>360</v>
      </c>
      <c r="D1482" s="21"/>
      <c r="E1482" s="21"/>
      <c r="F1482" s="21"/>
      <c r="G1482" s="21"/>
      <c r="H1482" s="180"/>
    </row>
    <row r="1483" spans="1:8" s="179" customFormat="1" x14ac:dyDescent="0.25">
      <c r="A1483" s="161"/>
      <c r="B1483" s="30" t="s">
        <v>1019</v>
      </c>
      <c r="C1483" s="51" t="s">
        <v>1020</v>
      </c>
      <c r="D1483" s="32"/>
      <c r="E1483" s="69" t="s">
        <v>193</v>
      </c>
      <c r="F1483" s="33" t="s">
        <v>192</v>
      </c>
      <c r="G1483" s="34" t="s">
        <v>357</v>
      </c>
      <c r="H1483" s="180"/>
    </row>
    <row r="1484" spans="1:8" s="179" customFormat="1" x14ac:dyDescent="0.25">
      <c r="A1484" s="161"/>
      <c r="B1484" s="35" t="s">
        <v>0</v>
      </c>
      <c r="C1484" s="20" t="s">
        <v>1</v>
      </c>
      <c r="D1484" s="20" t="s">
        <v>190</v>
      </c>
      <c r="E1484" s="59" t="s">
        <v>189</v>
      </c>
      <c r="F1484" s="18" t="s">
        <v>188</v>
      </c>
      <c r="G1484" s="64" t="s">
        <v>187</v>
      </c>
      <c r="H1484" s="180"/>
    </row>
    <row r="1485" spans="1:8" s="179" customFormat="1" x14ac:dyDescent="0.25">
      <c r="A1485" s="161"/>
      <c r="B1485" s="356" t="s">
        <v>186</v>
      </c>
      <c r="C1485" s="357"/>
      <c r="D1485" s="216"/>
      <c r="E1485" s="26"/>
      <c r="F1485" s="36"/>
      <c r="G1485" s="37"/>
      <c r="H1485" s="180"/>
    </row>
    <row r="1486" spans="1:8" s="179" customFormat="1" x14ac:dyDescent="0.25">
      <c r="A1486" s="161"/>
      <c r="B1486" s="50">
        <v>88267</v>
      </c>
      <c r="C1486" s="17" t="s">
        <v>210</v>
      </c>
      <c r="D1486" s="216" t="s">
        <v>184</v>
      </c>
      <c r="E1486" s="41">
        <v>2.5</v>
      </c>
      <c r="F1486" s="27">
        <v>21.67</v>
      </c>
      <c r="G1486" s="37">
        <f>E1486*F1486</f>
        <v>54.175000000000004</v>
      </c>
      <c r="H1486" s="180"/>
    </row>
    <row r="1487" spans="1:8" s="179" customFormat="1" x14ac:dyDescent="0.25">
      <c r="A1487" s="161"/>
      <c r="B1487" s="215"/>
      <c r="C1487" s="25"/>
      <c r="D1487" s="25"/>
      <c r="E1487" s="53"/>
      <c r="F1487" s="39" t="s">
        <v>183</v>
      </c>
      <c r="G1487" s="40">
        <f>SUM(G1486:G1486)</f>
        <v>54.175000000000004</v>
      </c>
      <c r="H1487" s="180"/>
    </row>
    <row r="1488" spans="1:8" s="179" customFormat="1" ht="15.75" thickBot="1" x14ac:dyDescent="0.3">
      <c r="A1488" s="161"/>
      <c r="B1488" s="215"/>
      <c r="C1488" s="17"/>
      <c r="D1488" s="25"/>
      <c r="E1488" s="26"/>
      <c r="F1488" s="16"/>
      <c r="G1488" s="43"/>
      <c r="H1488" s="180"/>
    </row>
    <row r="1489" spans="1:8" s="179" customFormat="1" ht="15.75" thickBot="1" x14ac:dyDescent="0.3">
      <c r="A1489" s="161"/>
      <c r="B1489" s="44" t="s">
        <v>240</v>
      </c>
      <c r="C1489" s="45" t="s">
        <v>193</v>
      </c>
      <c r="D1489" s="46"/>
      <c r="E1489" s="47"/>
      <c r="F1489" s="16" t="s">
        <v>178</v>
      </c>
      <c r="G1489" s="113">
        <f>G1487</f>
        <v>54.175000000000004</v>
      </c>
      <c r="H1489" s="180"/>
    </row>
    <row r="1490" spans="1:8" s="179" customFormat="1" ht="15.75" thickBot="1" x14ac:dyDescent="0.3">
      <c r="A1490" s="161"/>
      <c r="B1490" s="23" t="s">
        <v>110</v>
      </c>
      <c r="C1490" s="22" t="s">
        <v>27</v>
      </c>
      <c r="D1490" s="21"/>
      <c r="E1490" s="21"/>
      <c r="F1490" s="21"/>
      <c r="G1490" s="21"/>
      <c r="H1490" s="180"/>
    </row>
    <row r="1491" spans="1:8" s="179" customFormat="1" x14ac:dyDescent="0.25">
      <c r="A1491" s="161"/>
      <c r="B1491" s="30" t="s">
        <v>174</v>
      </c>
      <c r="C1491" s="51" t="s">
        <v>1021</v>
      </c>
      <c r="D1491" s="32"/>
      <c r="E1491" s="69" t="s">
        <v>193</v>
      </c>
      <c r="F1491" s="33" t="s">
        <v>192</v>
      </c>
      <c r="G1491" s="34" t="s">
        <v>357</v>
      </c>
      <c r="H1491" s="180"/>
    </row>
    <row r="1492" spans="1:8" s="179" customFormat="1" x14ac:dyDescent="0.25">
      <c r="A1492" s="161"/>
      <c r="B1492" s="35" t="s">
        <v>0</v>
      </c>
      <c r="C1492" s="20" t="s">
        <v>1</v>
      </c>
      <c r="D1492" s="20" t="s">
        <v>190</v>
      </c>
      <c r="E1492" s="59" t="s">
        <v>189</v>
      </c>
      <c r="F1492" s="18" t="s">
        <v>188</v>
      </c>
      <c r="G1492" s="64" t="s">
        <v>187</v>
      </c>
      <c r="H1492" s="180"/>
    </row>
    <row r="1493" spans="1:8" s="179" customFormat="1" x14ac:dyDescent="0.25">
      <c r="A1493" s="161"/>
      <c r="B1493" s="356" t="s">
        <v>186</v>
      </c>
      <c r="C1493" s="357"/>
      <c r="D1493" s="216"/>
      <c r="E1493" s="26"/>
      <c r="F1493" s="36"/>
      <c r="G1493" s="37"/>
      <c r="H1493" s="180"/>
    </row>
    <row r="1494" spans="1:8" s="179" customFormat="1" x14ac:dyDescent="0.25">
      <c r="A1494" s="161"/>
      <c r="B1494" s="50">
        <v>88267</v>
      </c>
      <c r="C1494" s="17" t="s">
        <v>210</v>
      </c>
      <c r="D1494" s="216" t="s">
        <v>184</v>
      </c>
      <c r="E1494" s="41">
        <v>5.5</v>
      </c>
      <c r="F1494" s="27">
        <v>21.67</v>
      </c>
      <c r="G1494" s="37">
        <f>E1494*F1494</f>
        <v>119.185</v>
      </c>
      <c r="H1494" s="180"/>
    </row>
    <row r="1495" spans="1:8" s="179" customFormat="1" x14ac:dyDescent="0.25">
      <c r="A1495" s="161"/>
      <c r="B1495" s="215"/>
      <c r="C1495" s="25"/>
      <c r="D1495" s="25"/>
      <c r="E1495" s="53"/>
      <c r="F1495" s="39" t="s">
        <v>183</v>
      </c>
      <c r="G1495" s="40">
        <f>SUM(G1494:G1494)</f>
        <v>119.185</v>
      </c>
      <c r="H1495" s="180"/>
    </row>
    <row r="1496" spans="1:8" s="179" customFormat="1" ht="15.75" thickBot="1" x14ac:dyDescent="0.3">
      <c r="A1496" s="161"/>
      <c r="B1496" s="215"/>
      <c r="C1496" s="17"/>
      <c r="D1496" s="25"/>
      <c r="E1496" s="26"/>
      <c r="F1496" s="16"/>
      <c r="G1496" s="43"/>
      <c r="H1496" s="180"/>
    </row>
    <row r="1497" spans="1:8" s="179" customFormat="1" ht="15.75" thickBot="1" x14ac:dyDescent="0.3">
      <c r="A1497" s="161"/>
      <c r="B1497" s="44" t="s">
        <v>240</v>
      </c>
      <c r="C1497" s="45" t="s">
        <v>193</v>
      </c>
      <c r="D1497" s="46"/>
      <c r="E1497" s="47"/>
      <c r="F1497" s="16" t="s">
        <v>178</v>
      </c>
      <c r="G1497" s="113">
        <f>G1495</f>
        <v>119.185</v>
      </c>
      <c r="H1497" s="180"/>
    </row>
    <row r="1498" spans="1:8" s="179" customFormat="1" x14ac:dyDescent="0.25">
      <c r="A1498" s="161"/>
      <c r="B1498" s="23" t="s">
        <v>10</v>
      </c>
      <c r="C1498" s="22" t="s">
        <v>356</v>
      </c>
      <c r="D1498" s="21"/>
      <c r="E1498" s="21"/>
      <c r="F1498" s="21"/>
      <c r="G1498" s="21"/>
      <c r="H1498" s="180"/>
    </row>
    <row r="1499" spans="1:8" s="179" customFormat="1" ht="15.75" thickBot="1" x14ac:dyDescent="0.3">
      <c r="A1499" s="161"/>
      <c r="B1499" s="23" t="s">
        <v>111</v>
      </c>
      <c r="C1499" s="22" t="s">
        <v>360</v>
      </c>
      <c r="D1499" s="21"/>
      <c r="E1499" s="21"/>
      <c r="F1499" s="21"/>
      <c r="G1499" s="21"/>
      <c r="H1499" s="180"/>
    </row>
    <row r="1500" spans="1:8" s="179" customFormat="1" x14ac:dyDescent="0.25">
      <c r="A1500" s="161"/>
      <c r="B1500" s="30" t="s">
        <v>176</v>
      </c>
      <c r="C1500" s="51" t="s">
        <v>1046</v>
      </c>
      <c r="D1500" s="32"/>
      <c r="E1500" s="69" t="s">
        <v>193</v>
      </c>
      <c r="F1500" s="33" t="s">
        <v>192</v>
      </c>
      <c r="G1500" s="34" t="s">
        <v>357</v>
      </c>
      <c r="H1500" s="180"/>
    </row>
    <row r="1501" spans="1:8" s="179" customFormat="1" x14ac:dyDescent="0.25">
      <c r="A1501" s="161"/>
      <c r="B1501" s="35" t="s">
        <v>0</v>
      </c>
      <c r="C1501" s="20" t="s">
        <v>1</v>
      </c>
      <c r="D1501" s="20" t="s">
        <v>190</v>
      </c>
      <c r="E1501" s="59" t="s">
        <v>189</v>
      </c>
      <c r="F1501" s="18" t="s">
        <v>188</v>
      </c>
      <c r="G1501" s="64" t="s">
        <v>187</v>
      </c>
      <c r="H1501" s="180"/>
    </row>
    <row r="1502" spans="1:8" s="179" customFormat="1" x14ac:dyDescent="0.25">
      <c r="A1502" s="161"/>
      <c r="B1502" s="356" t="s">
        <v>186</v>
      </c>
      <c r="C1502" s="357"/>
      <c r="D1502" s="216"/>
      <c r="E1502" s="26"/>
      <c r="F1502" s="36"/>
      <c r="G1502" s="37"/>
      <c r="H1502" s="180"/>
    </row>
    <row r="1503" spans="1:8" s="179" customFormat="1" x14ac:dyDescent="0.25">
      <c r="A1503" s="161"/>
      <c r="B1503" s="50">
        <v>88309</v>
      </c>
      <c r="C1503" s="17" t="s">
        <v>215</v>
      </c>
      <c r="D1503" s="216" t="s">
        <v>184</v>
      </c>
      <c r="E1503" s="71">
        <v>2</v>
      </c>
      <c r="F1503" s="27">
        <v>21.74</v>
      </c>
      <c r="G1503" s="37">
        <f>E1503*F1503</f>
        <v>43.48</v>
      </c>
      <c r="H1503" s="180"/>
    </row>
    <row r="1504" spans="1:8" s="179" customFormat="1" x14ac:dyDescent="0.25">
      <c r="A1504" s="161"/>
      <c r="B1504" s="50">
        <v>88316</v>
      </c>
      <c r="C1504" s="17" t="s">
        <v>201</v>
      </c>
      <c r="D1504" s="216" t="s">
        <v>184</v>
      </c>
      <c r="E1504" s="71">
        <v>2</v>
      </c>
      <c r="F1504" s="27">
        <v>16.21</v>
      </c>
      <c r="G1504" s="37">
        <f>E1504*F1504</f>
        <v>32.42</v>
      </c>
      <c r="H1504" s="180"/>
    </row>
    <row r="1505" spans="1:8" s="179" customFormat="1" x14ac:dyDescent="0.25">
      <c r="A1505" s="161"/>
      <c r="B1505" s="215"/>
      <c r="C1505" s="25"/>
      <c r="D1505" s="25"/>
      <c r="E1505" s="53"/>
      <c r="F1505" s="39" t="s">
        <v>183</v>
      </c>
      <c r="G1505" s="40">
        <f>SUM(G1503:G1504)</f>
        <v>75.900000000000006</v>
      </c>
      <c r="H1505" s="180"/>
    </row>
    <row r="1506" spans="1:8" s="179" customFormat="1" ht="15.75" thickBot="1" x14ac:dyDescent="0.3">
      <c r="A1506" s="161"/>
      <c r="B1506" s="215"/>
      <c r="C1506" s="17"/>
      <c r="D1506" s="25"/>
      <c r="E1506" s="26"/>
      <c r="F1506" s="16"/>
      <c r="G1506" s="43"/>
      <c r="H1506" s="180"/>
    </row>
    <row r="1507" spans="1:8" s="179" customFormat="1" ht="15.75" thickBot="1" x14ac:dyDescent="0.3">
      <c r="A1507" s="161"/>
      <c r="B1507" s="44" t="s">
        <v>240</v>
      </c>
      <c r="C1507" s="45" t="s">
        <v>193</v>
      </c>
      <c r="D1507" s="46"/>
      <c r="E1507" s="47"/>
      <c r="F1507" s="16" t="s">
        <v>178</v>
      </c>
      <c r="G1507" s="113">
        <f>G1505</f>
        <v>75.900000000000006</v>
      </c>
      <c r="H1507" s="180"/>
    </row>
    <row r="1508" spans="1:8" s="179" customFormat="1" ht="15.75" thickBot="1" x14ac:dyDescent="0.3">
      <c r="A1508" s="161"/>
      <c r="B1508" s="23" t="s">
        <v>112</v>
      </c>
      <c r="C1508" s="22" t="s">
        <v>27</v>
      </c>
      <c r="D1508" s="21"/>
      <c r="E1508" s="21"/>
      <c r="F1508" s="21"/>
      <c r="G1508" s="21"/>
      <c r="H1508" s="180"/>
    </row>
    <row r="1509" spans="1:8" s="179" customFormat="1" ht="22.5" x14ac:dyDescent="0.25">
      <c r="A1509" s="161"/>
      <c r="B1509" s="30" t="s">
        <v>652</v>
      </c>
      <c r="C1509" s="51" t="s">
        <v>1022</v>
      </c>
      <c r="D1509" s="32"/>
      <c r="E1509" s="69" t="s">
        <v>193</v>
      </c>
      <c r="F1509" s="33" t="s">
        <v>192</v>
      </c>
      <c r="G1509" s="34" t="s">
        <v>357</v>
      </c>
      <c r="H1509" s="180"/>
    </row>
    <row r="1510" spans="1:8" s="179" customFormat="1" x14ac:dyDescent="0.25">
      <c r="A1510" s="161"/>
      <c r="B1510" s="35" t="s">
        <v>0</v>
      </c>
      <c r="C1510" s="20" t="s">
        <v>1</v>
      </c>
      <c r="D1510" s="20" t="s">
        <v>190</v>
      </c>
      <c r="E1510" s="59" t="s">
        <v>189</v>
      </c>
      <c r="F1510" s="18" t="s">
        <v>188</v>
      </c>
      <c r="G1510" s="64" t="s">
        <v>187</v>
      </c>
      <c r="H1510" s="180"/>
    </row>
    <row r="1511" spans="1:8" s="179" customFormat="1" x14ac:dyDescent="0.25">
      <c r="A1511" s="161"/>
      <c r="B1511" s="356" t="s">
        <v>186</v>
      </c>
      <c r="C1511" s="357"/>
      <c r="D1511" s="216"/>
      <c r="E1511" s="26"/>
      <c r="F1511" s="36"/>
      <c r="G1511" s="37"/>
      <c r="H1511" s="180"/>
    </row>
    <row r="1512" spans="1:8" s="179" customFormat="1" x14ac:dyDescent="0.25">
      <c r="A1512" s="161"/>
      <c r="B1512" s="50">
        <v>88267</v>
      </c>
      <c r="C1512" s="17" t="s">
        <v>210</v>
      </c>
      <c r="D1512" s="216" t="s">
        <v>184</v>
      </c>
      <c r="E1512" s="41">
        <v>1.5</v>
      </c>
      <c r="F1512" s="27">
        <v>21.67</v>
      </c>
      <c r="G1512" s="37">
        <f>E1512*F1512</f>
        <v>32.505000000000003</v>
      </c>
      <c r="H1512" s="180"/>
    </row>
    <row r="1513" spans="1:8" s="179" customFormat="1" x14ac:dyDescent="0.25">
      <c r="A1513" s="161"/>
      <c r="B1513" s="50">
        <v>88264</v>
      </c>
      <c r="C1513" s="17" t="s">
        <v>185</v>
      </c>
      <c r="D1513" s="216" t="s">
        <v>184</v>
      </c>
      <c r="E1513" s="41">
        <v>1.5</v>
      </c>
      <c r="F1513" s="42">
        <v>25.71</v>
      </c>
      <c r="G1513" s="37">
        <f>E1513*F1513</f>
        <v>38.564999999999998</v>
      </c>
      <c r="H1513" s="180"/>
    </row>
    <row r="1514" spans="1:8" s="179" customFormat="1" x14ac:dyDescent="0.25">
      <c r="A1514" s="161"/>
      <c r="B1514" s="215"/>
      <c r="C1514" s="25"/>
      <c r="D1514" s="25"/>
      <c r="E1514" s="53"/>
      <c r="F1514" s="39" t="s">
        <v>183</v>
      </c>
      <c r="G1514" s="40">
        <f>SUM(G1512:G1513)</f>
        <v>71.069999999999993</v>
      </c>
      <c r="H1514" s="180"/>
    </row>
    <row r="1515" spans="1:8" s="179" customFormat="1" ht="15.75" thickBot="1" x14ac:dyDescent="0.3">
      <c r="A1515" s="161"/>
      <c r="B1515" s="215"/>
      <c r="C1515" s="17"/>
      <c r="D1515" s="25"/>
      <c r="E1515" s="26"/>
      <c r="F1515" s="16"/>
      <c r="G1515" s="43"/>
      <c r="H1515" s="180"/>
    </row>
    <row r="1516" spans="1:8" s="179" customFormat="1" ht="15.75" thickBot="1" x14ac:dyDescent="0.3">
      <c r="A1516" s="161"/>
      <c r="B1516" s="44" t="s">
        <v>240</v>
      </c>
      <c r="C1516" s="45" t="s">
        <v>193</v>
      </c>
      <c r="D1516" s="46"/>
      <c r="E1516" s="47"/>
      <c r="F1516" s="16" t="s">
        <v>178</v>
      </c>
      <c r="G1516" s="113">
        <f>G1514</f>
        <v>71.069999999999993</v>
      </c>
      <c r="H1516" s="180"/>
    </row>
    <row r="1517" spans="1:8" s="179" customFormat="1" x14ac:dyDescent="0.25">
      <c r="A1517" s="161"/>
      <c r="B1517" s="30" t="s">
        <v>653</v>
      </c>
      <c r="C1517" s="51" t="s">
        <v>353</v>
      </c>
      <c r="D1517" s="32"/>
      <c r="E1517" s="69" t="s">
        <v>193</v>
      </c>
      <c r="F1517" s="33" t="s">
        <v>192</v>
      </c>
      <c r="G1517" s="34" t="s">
        <v>357</v>
      </c>
      <c r="H1517" s="180"/>
    </row>
    <row r="1518" spans="1:8" s="179" customFormat="1" x14ac:dyDescent="0.25">
      <c r="A1518" s="161"/>
      <c r="B1518" s="35" t="s">
        <v>0</v>
      </c>
      <c r="C1518" s="20" t="s">
        <v>1</v>
      </c>
      <c r="D1518" s="20" t="s">
        <v>190</v>
      </c>
      <c r="E1518" s="59" t="s">
        <v>189</v>
      </c>
      <c r="F1518" s="18" t="s">
        <v>188</v>
      </c>
      <c r="G1518" s="64" t="s">
        <v>187</v>
      </c>
      <c r="H1518" s="180"/>
    </row>
    <row r="1519" spans="1:8" s="179" customFormat="1" x14ac:dyDescent="0.25">
      <c r="A1519" s="161"/>
      <c r="B1519" s="356" t="s">
        <v>186</v>
      </c>
      <c r="C1519" s="357"/>
      <c r="D1519" s="216"/>
      <c r="E1519" s="26"/>
      <c r="F1519" s="36"/>
      <c r="G1519" s="37"/>
      <c r="H1519" s="180"/>
    </row>
    <row r="1520" spans="1:8" s="179" customFormat="1" x14ac:dyDescent="0.25">
      <c r="A1520" s="161"/>
      <c r="B1520" s="50">
        <v>88264</v>
      </c>
      <c r="C1520" s="17" t="s">
        <v>185</v>
      </c>
      <c r="D1520" s="216" t="s">
        <v>184</v>
      </c>
      <c r="E1520" s="41">
        <v>2.5</v>
      </c>
      <c r="F1520" s="42">
        <v>25.71</v>
      </c>
      <c r="G1520" s="37">
        <f>E1520*F1520</f>
        <v>64.275000000000006</v>
      </c>
      <c r="H1520" s="180"/>
    </row>
    <row r="1521" spans="1:8" s="179" customFormat="1" x14ac:dyDescent="0.25">
      <c r="A1521" s="161"/>
      <c r="B1521" s="50">
        <v>88243</v>
      </c>
      <c r="C1521" s="17" t="s">
        <v>395</v>
      </c>
      <c r="D1521" s="216" t="s">
        <v>184</v>
      </c>
      <c r="E1521" s="54">
        <v>2.5</v>
      </c>
      <c r="F1521" s="27">
        <v>17.29</v>
      </c>
      <c r="G1521" s="37">
        <f>E1521*F1521</f>
        <v>43.224999999999994</v>
      </c>
      <c r="H1521" s="180"/>
    </row>
    <row r="1522" spans="1:8" s="179" customFormat="1" x14ac:dyDescent="0.25">
      <c r="A1522" s="161"/>
      <c r="B1522" s="215"/>
      <c r="C1522" s="25"/>
      <c r="D1522" s="25"/>
      <c r="E1522" s="53"/>
      <c r="F1522" s="39" t="s">
        <v>183</v>
      </c>
      <c r="G1522" s="40">
        <f>SUM(G1520:G1521)</f>
        <v>107.5</v>
      </c>
      <c r="H1522" s="180"/>
    </row>
    <row r="1523" spans="1:8" s="179" customFormat="1" ht="15.75" thickBot="1" x14ac:dyDescent="0.3">
      <c r="A1523" s="161"/>
      <c r="B1523" s="215"/>
      <c r="C1523" s="17"/>
      <c r="D1523" s="25"/>
      <c r="E1523" s="26"/>
      <c r="F1523" s="16"/>
      <c r="G1523" s="43"/>
      <c r="H1523" s="180"/>
    </row>
    <row r="1524" spans="1:8" s="179" customFormat="1" ht="15.75" thickBot="1" x14ac:dyDescent="0.3">
      <c r="A1524" s="161"/>
      <c r="B1524" s="44" t="s">
        <v>240</v>
      </c>
      <c r="C1524" s="45" t="s">
        <v>193</v>
      </c>
      <c r="D1524" s="46"/>
      <c r="E1524" s="47"/>
      <c r="F1524" s="16" t="s">
        <v>178</v>
      </c>
      <c r="G1524" s="113">
        <f>G1522</f>
        <v>107.5</v>
      </c>
      <c r="H1524" s="180"/>
    </row>
    <row r="1525" spans="1:8" s="179" customFormat="1" ht="15.75" thickBot="1" x14ac:dyDescent="0.3">
      <c r="A1525" s="161"/>
      <c r="B1525" s="23" t="s">
        <v>115</v>
      </c>
      <c r="C1525" s="22" t="s">
        <v>25</v>
      </c>
      <c r="D1525" s="21"/>
      <c r="E1525" s="21"/>
      <c r="F1525" s="21"/>
      <c r="G1525" s="21"/>
      <c r="H1525" s="180"/>
    </row>
    <row r="1526" spans="1:8" s="179" customFormat="1" ht="22.5" x14ac:dyDescent="0.25">
      <c r="A1526" s="161"/>
      <c r="B1526" s="30" t="s">
        <v>654</v>
      </c>
      <c r="C1526" s="51" t="s">
        <v>361</v>
      </c>
      <c r="D1526" s="32"/>
      <c r="E1526" s="69" t="s">
        <v>193</v>
      </c>
      <c r="F1526" s="33" t="s">
        <v>192</v>
      </c>
      <c r="G1526" s="34" t="s">
        <v>357</v>
      </c>
      <c r="H1526" s="180"/>
    </row>
    <row r="1527" spans="1:8" s="179" customFormat="1" x14ac:dyDescent="0.25">
      <c r="A1527" s="161"/>
      <c r="B1527" s="35" t="s">
        <v>0</v>
      </c>
      <c r="C1527" s="20" t="s">
        <v>1</v>
      </c>
      <c r="D1527" s="20" t="s">
        <v>190</v>
      </c>
      <c r="E1527" s="59" t="s">
        <v>189</v>
      </c>
      <c r="F1527" s="18" t="s">
        <v>188</v>
      </c>
      <c r="G1527" s="64" t="s">
        <v>187</v>
      </c>
      <c r="H1527" s="180"/>
    </row>
    <row r="1528" spans="1:8" s="179" customFormat="1" x14ac:dyDescent="0.25">
      <c r="A1528" s="161"/>
      <c r="B1528" s="356" t="s">
        <v>186</v>
      </c>
      <c r="C1528" s="357"/>
      <c r="D1528" s="216"/>
      <c r="E1528" s="26"/>
      <c r="F1528" s="36"/>
      <c r="G1528" s="37"/>
      <c r="H1528" s="180"/>
    </row>
    <row r="1529" spans="1:8" s="179" customFormat="1" x14ac:dyDescent="0.25">
      <c r="A1529" s="161"/>
      <c r="B1529" s="50">
        <v>88264</v>
      </c>
      <c r="C1529" s="17" t="s">
        <v>185</v>
      </c>
      <c r="D1529" s="216" t="s">
        <v>184</v>
      </c>
      <c r="E1529" s="41">
        <v>6</v>
      </c>
      <c r="F1529" s="42">
        <v>25.71</v>
      </c>
      <c r="G1529" s="37">
        <f>E1529*F1529</f>
        <v>154.26</v>
      </c>
      <c r="H1529" s="180"/>
    </row>
    <row r="1530" spans="1:8" s="179" customFormat="1" x14ac:dyDescent="0.25">
      <c r="A1530" s="161"/>
      <c r="B1530" s="50">
        <v>88243</v>
      </c>
      <c r="C1530" s="17" t="s">
        <v>395</v>
      </c>
      <c r="D1530" s="216" t="s">
        <v>184</v>
      </c>
      <c r="E1530" s="54">
        <v>6</v>
      </c>
      <c r="F1530" s="27">
        <v>17.29</v>
      </c>
      <c r="G1530" s="37">
        <f>E1530*F1530</f>
        <v>103.74</v>
      </c>
      <c r="H1530" s="180"/>
    </row>
    <row r="1531" spans="1:8" s="179" customFormat="1" x14ac:dyDescent="0.25">
      <c r="A1531" s="161"/>
      <c r="B1531" s="215"/>
      <c r="C1531" s="25"/>
      <c r="D1531" s="25"/>
      <c r="E1531" s="53"/>
      <c r="F1531" s="39" t="s">
        <v>183</v>
      </c>
      <c r="G1531" s="40">
        <f>SUM(G1529:G1530)</f>
        <v>258</v>
      </c>
      <c r="H1531" s="180"/>
    </row>
    <row r="1532" spans="1:8" s="179" customFormat="1" ht="15.75" thickBot="1" x14ac:dyDescent="0.3">
      <c r="A1532" s="161"/>
      <c r="B1532" s="215"/>
      <c r="C1532" s="17"/>
      <c r="D1532" s="25"/>
      <c r="E1532" s="26"/>
      <c r="F1532" s="16"/>
      <c r="G1532" s="43"/>
      <c r="H1532" s="180"/>
    </row>
    <row r="1533" spans="1:8" s="179" customFormat="1" ht="15.75" thickBot="1" x14ac:dyDescent="0.3">
      <c r="A1533" s="161"/>
      <c r="B1533" s="44" t="s">
        <v>240</v>
      </c>
      <c r="C1533" s="45" t="s">
        <v>193</v>
      </c>
      <c r="D1533" s="46"/>
      <c r="E1533" s="47"/>
      <c r="F1533" s="16" t="s">
        <v>178</v>
      </c>
      <c r="G1533" s="113">
        <f>G1531</f>
        <v>258</v>
      </c>
      <c r="H1533" s="180"/>
    </row>
    <row r="1534" spans="1:8" s="179" customFormat="1" ht="22.5" x14ac:dyDescent="0.25">
      <c r="A1534" s="161"/>
      <c r="B1534" s="30" t="s">
        <v>655</v>
      </c>
      <c r="C1534" s="51" t="s">
        <v>363</v>
      </c>
      <c r="D1534" s="32"/>
      <c r="E1534" s="69" t="s">
        <v>193</v>
      </c>
      <c r="F1534" s="33" t="s">
        <v>192</v>
      </c>
      <c r="G1534" s="34" t="s">
        <v>357</v>
      </c>
      <c r="H1534" s="180"/>
    </row>
    <row r="1535" spans="1:8" s="179" customFormat="1" x14ac:dyDescent="0.25">
      <c r="A1535" s="161"/>
      <c r="B1535" s="35" t="s">
        <v>0</v>
      </c>
      <c r="C1535" s="20" t="s">
        <v>1</v>
      </c>
      <c r="D1535" s="20" t="s">
        <v>190</v>
      </c>
      <c r="E1535" s="59" t="s">
        <v>189</v>
      </c>
      <c r="F1535" s="18" t="s">
        <v>188</v>
      </c>
      <c r="G1535" s="64" t="s">
        <v>187</v>
      </c>
      <c r="H1535" s="180"/>
    </row>
    <row r="1536" spans="1:8" s="179" customFormat="1" x14ac:dyDescent="0.25">
      <c r="A1536" s="161"/>
      <c r="B1536" s="356" t="s">
        <v>186</v>
      </c>
      <c r="C1536" s="357"/>
      <c r="D1536" s="216"/>
      <c r="E1536" s="26"/>
      <c r="F1536" s="36"/>
      <c r="G1536" s="37"/>
      <c r="H1536" s="180"/>
    </row>
    <row r="1537" spans="1:8" s="179" customFormat="1" x14ac:dyDescent="0.25">
      <c r="A1537" s="161"/>
      <c r="B1537" s="50">
        <v>88264</v>
      </c>
      <c r="C1537" s="17" t="s">
        <v>185</v>
      </c>
      <c r="D1537" s="216" t="s">
        <v>184</v>
      </c>
      <c r="E1537" s="41">
        <v>1.5</v>
      </c>
      <c r="F1537" s="42">
        <v>25.71</v>
      </c>
      <c r="G1537" s="37">
        <f>E1537*F1537</f>
        <v>38.564999999999998</v>
      </c>
      <c r="H1537" s="180"/>
    </row>
    <row r="1538" spans="1:8" s="179" customFormat="1" x14ac:dyDescent="0.25">
      <c r="A1538" s="161"/>
      <c r="B1538" s="50">
        <v>88243</v>
      </c>
      <c r="C1538" s="17" t="s">
        <v>395</v>
      </c>
      <c r="D1538" s="216" t="s">
        <v>184</v>
      </c>
      <c r="E1538" s="54">
        <v>1.5</v>
      </c>
      <c r="F1538" s="27">
        <v>17.29</v>
      </c>
      <c r="G1538" s="37">
        <f>E1538*F1538</f>
        <v>25.934999999999999</v>
      </c>
      <c r="H1538" s="180"/>
    </row>
    <row r="1539" spans="1:8" s="179" customFormat="1" x14ac:dyDescent="0.25">
      <c r="A1539" s="161"/>
      <c r="B1539" s="215"/>
      <c r="C1539" s="25"/>
      <c r="D1539" s="25"/>
      <c r="E1539" s="53"/>
      <c r="F1539" s="39" t="s">
        <v>183</v>
      </c>
      <c r="G1539" s="40">
        <f>SUM(G1537:G1538)</f>
        <v>64.5</v>
      </c>
      <c r="H1539" s="180"/>
    </row>
    <row r="1540" spans="1:8" s="179" customFormat="1" ht="15.75" thickBot="1" x14ac:dyDescent="0.3">
      <c r="A1540" s="161"/>
      <c r="B1540" s="215"/>
      <c r="C1540" s="17"/>
      <c r="D1540" s="25"/>
      <c r="E1540" s="26"/>
      <c r="F1540" s="16"/>
      <c r="G1540" s="43"/>
      <c r="H1540" s="180"/>
    </row>
    <row r="1541" spans="1:8" s="179" customFormat="1" ht="15.75" thickBot="1" x14ac:dyDescent="0.3">
      <c r="A1541" s="161"/>
      <c r="B1541" s="44" t="s">
        <v>240</v>
      </c>
      <c r="C1541" s="45" t="s">
        <v>193</v>
      </c>
      <c r="D1541" s="46"/>
      <c r="E1541" s="47"/>
      <c r="F1541" s="16" t="s">
        <v>178</v>
      </c>
      <c r="G1541" s="113">
        <f>G1539</f>
        <v>64.5</v>
      </c>
      <c r="H1541" s="180"/>
    </row>
    <row r="1542" spans="1:8" s="179" customFormat="1" ht="15.75" thickBot="1" x14ac:dyDescent="0.3">
      <c r="A1542" s="161"/>
      <c r="B1542" s="23" t="s">
        <v>1178</v>
      </c>
      <c r="C1542" s="22" t="s">
        <v>1088</v>
      </c>
      <c r="D1542" s="21"/>
      <c r="E1542" s="21"/>
      <c r="F1542" s="21"/>
      <c r="G1542" s="21"/>
      <c r="H1542" s="180"/>
    </row>
    <row r="1543" spans="1:8" s="179" customFormat="1" x14ac:dyDescent="0.25">
      <c r="A1543" s="161"/>
      <c r="B1543" s="30" t="s">
        <v>1179</v>
      </c>
      <c r="C1543" s="51" t="s">
        <v>1270</v>
      </c>
      <c r="D1543" s="32"/>
      <c r="E1543" s="69" t="s">
        <v>193</v>
      </c>
      <c r="F1543" s="33" t="s">
        <v>192</v>
      </c>
      <c r="G1543" s="34" t="s">
        <v>357</v>
      </c>
      <c r="H1543" s="180"/>
    </row>
    <row r="1544" spans="1:8" s="179" customFormat="1" x14ac:dyDescent="0.25">
      <c r="A1544" s="161"/>
      <c r="B1544" s="35" t="s">
        <v>0</v>
      </c>
      <c r="C1544" s="20" t="s">
        <v>1</v>
      </c>
      <c r="D1544" s="20" t="s">
        <v>190</v>
      </c>
      <c r="E1544" s="59" t="s">
        <v>189</v>
      </c>
      <c r="F1544" s="18" t="s">
        <v>188</v>
      </c>
      <c r="G1544" s="64" t="s">
        <v>187</v>
      </c>
      <c r="H1544" s="180"/>
    </row>
    <row r="1545" spans="1:8" s="179" customFormat="1" x14ac:dyDescent="0.25">
      <c r="A1545" s="161"/>
      <c r="B1545" s="356" t="s">
        <v>186</v>
      </c>
      <c r="C1545" s="357"/>
      <c r="D1545" s="216"/>
      <c r="E1545" s="26"/>
      <c r="F1545" s="36"/>
      <c r="G1545" s="37"/>
      <c r="H1545" s="180"/>
    </row>
    <row r="1546" spans="1:8" s="179" customFormat="1" x14ac:dyDescent="0.25">
      <c r="A1546" s="161"/>
      <c r="B1546" s="50" t="str">
        <f>'MAPA COTAÇÃO'!B166</f>
        <v>COT- 32</v>
      </c>
      <c r="C1546" s="17" t="str">
        <f>'MAPA COTAÇÃO'!B171</f>
        <v>MANUTENÇÃO PREVENTIVA CENTRAL TELEFONICA</v>
      </c>
      <c r="D1546" s="216" t="str">
        <f>'MAPA COTAÇÃO'!D171</f>
        <v>MÊS</v>
      </c>
      <c r="E1546" s="41">
        <v>1</v>
      </c>
      <c r="F1546" s="27">
        <f>'MAPA COTAÇÃO'!J171</f>
        <v>410</v>
      </c>
      <c r="G1546" s="37">
        <f>E1546*F1546</f>
        <v>410</v>
      </c>
      <c r="H1546" s="180"/>
    </row>
    <row r="1547" spans="1:8" s="179" customFormat="1" x14ac:dyDescent="0.25">
      <c r="A1547" s="161"/>
      <c r="B1547" s="215"/>
      <c r="C1547" s="25"/>
      <c r="D1547" s="25"/>
      <c r="E1547" s="53"/>
      <c r="F1547" s="39" t="s">
        <v>183</v>
      </c>
      <c r="G1547" s="40">
        <f>SUM(G1546:G1546)</f>
        <v>410</v>
      </c>
      <c r="H1547" s="180"/>
    </row>
    <row r="1548" spans="1:8" s="179" customFormat="1" x14ac:dyDescent="0.25">
      <c r="A1548" s="161"/>
      <c r="B1548" s="358" t="s">
        <v>182</v>
      </c>
      <c r="C1548" s="359"/>
      <c r="D1548" s="25"/>
      <c r="E1548" s="53"/>
      <c r="F1548" s="39"/>
      <c r="G1548" s="40"/>
      <c r="H1548" s="180"/>
    </row>
    <row r="1549" spans="1:8" s="179" customFormat="1" x14ac:dyDescent="0.25">
      <c r="A1549" s="161"/>
      <c r="B1549" s="50"/>
      <c r="C1549" s="17" t="s">
        <v>1091</v>
      </c>
      <c r="D1549" s="216" t="s">
        <v>1013</v>
      </c>
      <c r="E1549" s="204">
        <v>0.1</v>
      </c>
      <c r="F1549" s="42">
        <f>G1547</f>
        <v>410</v>
      </c>
      <c r="G1549" s="37">
        <f>E1549*F1549</f>
        <v>41</v>
      </c>
      <c r="H1549" s="180"/>
    </row>
    <row r="1550" spans="1:8" s="179" customFormat="1" x14ac:dyDescent="0.25">
      <c r="A1550" s="161"/>
      <c r="B1550" s="215"/>
      <c r="C1550" s="25"/>
      <c r="D1550" s="25"/>
      <c r="E1550" s="53"/>
      <c r="F1550" s="39" t="s">
        <v>1011</v>
      </c>
      <c r="G1550" s="40">
        <f>SUM(G1549:G1549)</f>
        <v>41</v>
      </c>
      <c r="H1550" s="180"/>
    </row>
    <row r="1551" spans="1:8" s="179" customFormat="1" ht="15.75" thickBot="1" x14ac:dyDescent="0.3">
      <c r="A1551" s="161"/>
      <c r="B1551" s="215"/>
      <c r="C1551" s="17"/>
      <c r="D1551" s="25"/>
      <c r="E1551" s="26"/>
      <c r="F1551" s="16"/>
      <c r="G1551" s="43"/>
      <c r="H1551" s="180"/>
    </row>
    <row r="1552" spans="1:8" s="179" customFormat="1" ht="15.75" thickBot="1" x14ac:dyDescent="0.3">
      <c r="A1552" s="161"/>
      <c r="B1552" s="44" t="s">
        <v>240</v>
      </c>
      <c r="C1552" s="45" t="s">
        <v>193</v>
      </c>
      <c r="D1552" s="46"/>
      <c r="E1552" s="47"/>
      <c r="F1552" s="16" t="s">
        <v>178</v>
      </c>
      <c r="G1552" s="113">
        <f>G1547+G1550</f>
        <v>451</v>
      </c>
      <c r="H1552" s="180"/>
    </row>
    <row r="1553" spans="1:8" s="179" customFormat="1" x14ac:dyDescent="0.25">
      <c r="A1553" s="161"/>
      <c r="B1553" s="23" t="s">
        <v>365</v>
      </c>
      <c r="C1553" s="22" t="s">
        <v>358</v>
      </c>
      <c r="D1553" s="21"/>
      <c r="E1553" s="21"/>
      <c r="F1553" s="21"/>
      <c r="G1553" s="21"/>
      <c r="H1553" s="180"/>
    </row>
    <row r="1554" spans="1:8" s="179" customFormat="1" ht="15.75" thickBot="1" x14ac:dyDescent="0.3">
      <c r="A1554" s="161"/>
      <c r="B1554" s="23" t="s">
        <v>657</v>
      </c>
      <c r="C1554" s="22" t="s">
        <v>1059</v>
      </c>
      <c r="D1554" s="21"/>
      <c r="E1554" s="21"/>
      <c r="F1554" s="21"/>
      <c r="G1554" s="21"/>
      <c r="H1554" s="180"/>
    </row>
    <row r="1555" spans="1:8" s="179" customFormat="1" x14ac:dyDescent="0.25">
      <c r="A1555" s="161"/>
      <c r="B1555" s="30" t="s">
        <v>1061</v>
      </c>
      <c r="C1555" s="51" t="s">
        <v>1060</v>
      </c>
      <c r="D1555" s="32"/>
      <c r="E1555" s="69" t="s">
        <v>193</v>
      </c>
      <c r="F1555" s="33" t="s">
        <v>192</v>
      </c>
      <c r="G1555" s="34" t="s">
        <v>357</v>
      </c>
      <c r="H1555" s="180"/>
    </row>
    <row r="1556" spans="1:8" s="179" customFormat="1" x14ac:dyDescent="0.25">
      <c r="A1556" s="161"/>
      <c r="B1556" s="35" t="s">
        <v>0</v>
      </c>
      <c r="C1556" s="20" t="s">
        <v>1</v>
      </c>
      <c r="D1556" s="20" t="s">
        <v>190</v>
      </c>
      <c r="E1556" s="59" t="s">
        <v>189</v>
      </c>
      <c r="F1556" s="18" t="s">
        <v>188</v>
      </c>
      <c r="G1556" s="64" t="s">
        <v>187</v>
      </c>
      <c r="H1556" s="180"/>
    </row>
    <row r="1557" spans="1:8" s="179" customFormat="1" x14ac:dyDescent="0.25">
      <c r="A1557" s="161"/>
      <c r="B1557" s="356" t="s">
        <v>186</v>
      </c>
      <c r="C1557" s="357"/>
      <c r="D1557" s="216"/>
      <c r="E1557" s="26"/>
      <c r="F1557" s="36"/>
      <c r="G1557" s="37"/>
      <c r="H1557" s="180"/>
    </row>
    <row r="1558" spans="1:8" s="179" customFormat="1" x14ac:dyDescent="0.25">
      <c r="A1558" s="161"/>
      <c r="B1558" s="50">
        <v>88309</v>
      </c>
      <c r="C1558" s="17" t="s">
        <v>215</v>
      </c>
      <c r="D1558" s="216" t="s">
        <v>184</v>
      </c>
      <c r="E1558" s="71">
        <v>3</v>
      </c>
      <c r="F1558" s="27">
        <v>21.74</v>
      </c>
      <c r="G1558" s="37">
        <f>E1558*F1558</f>
        <v>65.22</v>
      </c>
      <c r="H1558" s="180"/>
    </row>
    <row r="1559" spans="1:8" s="179" customFormat="1" x14ac:dyDescent="0.25">
      <c r="A1559" s="161"/>
      <c r="B1559" s="215"/>
      <c r="C1559" s="25"/>
      <c r="D1559" s="25"/>
      <c r="E1559" s="53"/>
      <c r="F1559" s="39" t="s">
        <v>183</v>
      </c>
      <c r="G1559" s="40">
        <f>SUM(G1558:G1558)</f>
        <v>65.22</v>
      </c>
      <c r="H1559" s="180"/>
    </row>
    <row r="1560" spans="1:8" s="179" customFormat="1" ht="15.75" thickBot="1" x14ac:dyDescent="0.3">
      <c r="A1560" s="161"/>
      <c r="B1560" s="215"/>
      <c r="C1560" s="17"/>
      <c r="D1560" s="25"/>
      <c r="E1560" s="26"/>
      <c r="F1560" s="16"/>
      <c r="G1560" s="43"/>
      <c r="H1560" s="180"/>
    </row>
    <row r="1561" spans="1:8" s="179" customFormat="1" ht="15.75" thickBot="1" x14ac:dyDescent="0.3">
      <c r="A1561" s="161"/>
      <c r="B1561" s="44" t="s">
        <v>240</v>
      </c>
      <c r="C1561" s="45" t="s">
        <v>193</v>
      </c>
      <c r="D1561" s="46"/>
      <c r="E1561" s="47"/>
      <c r="F1561" s="16" t="s">
        <v>178</v>
      </c>
      <c r="G1561" s="113">
        <f>G1559</f>
        <v>65.22</v>
      </c>
      <c r="H1561" s="180"/>
    </row>
    <row r="1562" spans="1:8" s="179" customFormat="1" ht="15.75" thickBot="1" x14ac:dyDescent="0.3">
      <c r="A1562" s="161"/>
      <c r="B1562" s="23" t="s">
        <v>658</v>
      </c>
      <c r="C1562" s="22" t="s">
        <v>108</v>
      </c>
      <c r="D1562" s="21"/>
      <c r="E1562" s="21"/>
      <c r="F1562" s="21"/>
      <c r="G1562" s="21"/>
      <c r="H1562" s="180"/>
    </row>
    <row r="1563" spans="1:8" s="179" customFormat="1" ht="22.5" x14ac:dyDescent="0.25">
      <c r="A1563" s="161"/>
      <c r="B1563" s="30" t="s">
        <v>1043</v>
      </c>
      <c r="C1563" s="51" t="s">
        <v>1045</v>
      </c>
      <c r="D1563" s="32"/>
      <c r="E1563" s="69" t="s">
        <v>193</v>
      </c>
      <c r="F1563" s="33" t="s">
        <v>192</v>
      </c>
      <c r="G1563" s="34" t="s">
        <v>357</v>
      </c>
      <c r="H1563" s="180"/>
    </row>
    <row r="1564" spans="1:8" s="179" customFormat="1" x14ac:dyDescent="0.25">
      <c r="A1564" s="161"/>
      <c r="B1564" s="35" t="s">
        <v>0</v>
      </c>
      <c r="C1564" s="20" t="s">
        <v>1</v>
      </c>
      <c r="D1564" s="20" t="s">
        <v>190</v>
      </c>
      <c r="E1564" s="59" t="s">
        <v>189</v>
      </c>
      <c r="F1564" s="18" t="s">
        <v>188</v>
      </c>
      <c r="G1564" s="64" t="s">
        <v>187</v>
      </c>
      <c r="H1564" s="180"/>
    </row>
    <row r="1565" spans="1:8" s="179" customFormat="1" x14ac:dyDescent="0.25">
      <c r="A1565" s="161"/>
      <c r="B1565" s="356" t="s">
        <v>186</v>
      </c>
      <c r="C1565" s="357"/>
      <c r="D1565" s="216"/>
      <c r="E1565" s="26"/>
      <c r="F1565" s="36"/>
      <c r="G1565" s="37"/>
      <c r="H1565" s="180"/>
    </row>
    <row r="1566" spans="1:8" s="179" customFormat="1" x14ac:dyDescent="0.25">
      <c r="A1566" s="161"/>
      <c r="B1566" s="50">
        <v>88310</v>
      </c>
      <c r="C1566" s="17" t="s">
        <v>429</v>
      </c>
      <c r="D1566" s="216" t="s">
        <v>184</v>
      </c>
      <c r="E1566" s="54">
        <v>5</v>
      </c>
      <c r="F1566" s="27">
        <v>21.62</v>
      </c>
      <c r="G1566" s="37">
        <f>E1566*F1566</f>
        <v>108.10000000000001</v>
      </c>
      <c r="H1566" s="180"/>
    </row>
    <row r="1567" spans="1:8" s="179" customFormat="1" x14ac:dyDescent="0.25">
      <c r="A1567" s="161"/>
      <c r="B1567" s="215"/>
      <c r="C1567" s="25"/>
      <c r="D1567" s="25"/>
      <c r="E1567" s="53"/>
      <c r="F1567" s="39" t="s">
        <v>183</v>
      </c>
      <c r="G1567" s="40">
        <f>SUM(G1566:G1566)</f>
        <v>108.10000000000001</v>
      </c>
      <c r="H1567" s="180"/>
    </row>
    <row r="1568" spans="1:8" s="179" customFormat="1" ht="15.75" thickBot="1" x14ac:dyDescent="0.3">
      <c r="A1568" s="161"/>
      <c r="B1568" s="215"/>
      <c r="C1568" s="17"/>
      <c r="D1568" s="25"/>
      <c r="E1568" s="26"/>
      <c r="F1568" s="16"/>
      <c r="G1568" s="43"/>
      <c r="H1568" s="180"/>
    </row>
    <row r="1569" spans="1:9" s="179" customFormat="1" ht="15.75" thickBot="1" x14ac:dyDescent="0.3">
      <c r="A1569" s="161"/>
      <c r="B1569" s="44" t="s">
        <v>240</v>
      </c>
      <c r="C1569" s="45" t="s">
        <v>193</v>
      </c>
      <c r="D1569" s="46"/>
      <c r="E1569" s="47"/>
      <c r="F1569" s="16" t="s">
        <v>178</v>
      </c>
      <c r="G1569" s="113">
        <f>G1567</f>
        <v>108.10000000000001</v>
      </c>
      <c r="H1569" s="180"/>
    </row>
    <row r="1570" spans="1:9" s="179" customFormat="1" ht="15.75" thickBot="1" x14ac:dyDescent="0.3">
      <c r="A1570" s="161"/>
      <c r="B1570" s="23" t="s">
        <v>659</v>
      </c>
      <c r="C1570" s="22" t="s">
        <v>360</v>
      </c>
      <c r="D1570" s="21"/>
      <c r="E1570" s="21"/>
      <c r="F1570" s="21"/>
      <c r="G1570" s="21"/>
      <c r="H1570" s="180"/>
    </row>
    <row r="1571" spans="1:9" s="179" customFormat="1" ht="22.5" x14ac:dyDescent="0.25">
      <c r="A1571" s="161"/>
      <c r="B1571" s="30" t="s">
        <v>1174</v>
      </c>
      <c r="C1571" s="51" t="s">
        <v>354</v>
      </c>
      <c r="D1571" s="32"/>
      <c r="E1571" s="69" t="s">
        <v>193</v>
      </c>
      <c r="F1571" s="33" t="s">
        <v>192</v>
      </c>
      <c r="G1571" s="34" t="s">
        <v>357</v>
      </c>
      <c r="H1571" s="180"/>
      <c r="I1571" s="316"/>
    </row>
    <row r="1572" spans="1:9" s="179" customFormat="1" x14ac:dyDescent="0.25">
      <c r="A1572" s="161"/>
      <c r="B1572" s="35" t="s">
        <v>0</v>
      </c>
      <c r="C1572" s="20" t="s">
        <v>1</v>
      </c>
      <c r="D1572" s="20" t="s">
        <v>190</v>
      </c>
      <c r="E1572" s="59" t="s">
        <v>189</v>
      </c>
      <c r="F1572" s="18" t="s">
        <v>188</v>
      </c>
      <c r="G1572" s="64" t="s">
        <v>187</v>
      </c>
      <c r="H1572" s="180"/>
      <c r="I1572" s="316"/>
    </row>
    <row r="1573" spans="1:9" s="179" customFormat="1" x14ac:dyDescent="0.25">
      <c r="A1573" s="161"/>
      <c r="B1573" s="356" t="s">
        <v>186</v>
      </c>
      <c r="C1573" s="357"/>
      <c r="D1573" s="314"/>
      <c r="E1573" s="26"/>
      <c r="F1573" s="36"/>
      <c r="G1573" s="37"/>
      <c r="H1573" s="180"/>
      <c r="I1573" s="316"/>
    </row>
    <row r="1574" spans="1:9" s="179" customFormat="1" x14ac:dyDescent="0.25">
      <c r="A1574" s="161"/>
      <c r="B1574" s="50">
        <v>88309</v>
      </c>
      <c r="C1574" s="17" t="s">
        <v>215</v>
      </c>
      <c r="D1574" s="314" t="s">
        <v>184</v>
      </c>
      <c r="E1574" s="71">
        <v>12</v>
      </c>
      <c r="F1574" s="27">
        <v>21.74</v>
      </c>
      <c r="G1574" s="37">
        <f>E1574*F1574</f>
        <v>260.88</v>
      </c>
      <c r="H1574" s="180"/>
      <c r="I1574" s="317"/>
    </row>
    <row r="1575" spans="1:9" s="179" customFormat="1" x14ac:dyDescent="0.25">
      <c r="A1575" s="161"/>
      <c r="B1575" s="50">
        <v>88316</v>
      </c>
      <c r="C1575" s="17" t="s">
        <v>201</v>
      </c>
      <c r="D1575" s="314" t="s">
        <v>184</v>
      </c>
      <c r="E1575" s="71">
        <v>12</v>
      </c>
      <c r="F1575" s="27">
        <v>16.21</v>
      </c>
      <c r="G1575" s="37">
        <f>E1575*F1575</f>
        <v>194.52</v>
      </c>
      <c r="H1575" s="180"/>
      <c r="I1575" s="317"/>
    </row>
    <row r="1576" spans="1:9" s="179" customFormat="1" x14ac:dyDescent="0.25">
      <c r="A1576" s="161"/>
      <c r="B1576" s="313"/>
      <c r="C1576" s="25"/>
      <c r="D1576" s="25"/>
      <c r="E1576" s="53"/>
      <c r="F1576" s="39" t="s">
        <v>183</v>
      </c>
      <c r="G1576" s="40">
        <f>SUM(G1574:G1575)</f>
        <v>455.4</v>
      </c>
      <c r="H1576" s="180"/>
      <c r="I1576" s="316"/>
    </row>
    <row r="1577" spans="1:9" s="179" customFormat="1" x14ac:dyDescent="0.25">
      <c r="A1577" s="161"/>
      <c r="B1577" s="358" t="s">
        <v>182</v>
      </c>
      <c r="C1577" s="359"/>
      <c r="D1577" s="314"/>
      <c r="E1577" s="26"/>
      <c r="F1577" s="36"/>
      <c r="G1577" s="37"/>
      <c r="H1577" s="180"/>
      <c r="I1577" s="316"/>
    </row>
    <row r="1578" spans="1:9" s="179" customFormat="1" x14ac:dyDescent="0.25">
      <c r="A1578" s="161"/>
      <c r="B1578" s="50"/>
      <c r="C1578" s="17" t="s">
        <v>1048</v>
      </c>
      <c r="D1578" s="314" t="s">
        <v>1013</v>
      </c>
      <c r="E1578" s="204">
        <v>0.25</v>
      </c>
      <c r="F1578" s="42">
        <f>G1576</f>
        <v>455.4</v>
      </c>
      <c r="G1578" s="37">
        <f>E1578*F1578</f>
        <v>113.85</v>
      </c>
      <c r="H1578" s="180"/>
      <c r="I1578" s="316"/>
    </row>
    <row r="1579" spans="1:9" s="179" customFormat="1" x14ac:dyDescent="0.25">
      <c r="A1579" s="161"/>
      <c r="B1579" s="313"/>
      <c r="C1579" s="25"/>
      <c r="D1579" s="25"/>
      <c r="E1579" s="53"/>
      <c r="F1579" s="39" t="s">
        <v>1011</v>
      </c>
      <c r="G1579" s="40">
        <f>SUM(G1578:G1578)</f>
        <v>113.85</v>
      </c>
      <c r="H1579" s="180"/>
      <c r="I1579" s="316"/>
    </row>
    <row r="1580" spans="1:9" s="179" customFormat="1" ht="15.75" thickBot="1" x14ac:dyDescent="0.3">
      <c r="A1580" s="161"/>
      <c r="B1580" s="313"/>
      <c r="C1580" s="17"/>
      <c r="D1580" s="25"/>
      <c r="E1580" s="26"/>
      <c r="F1580" s="16"/>
      <c r="G1580" s="43"/>
      <c r="H1580" s="180"/>
      <c r="I1580" s="316"/>
    </row>
    <row r="1581" spans="1:9" s="179" customFormat="1" ht="15.75" thickBot="1" x14ac:dyDescent="0.3">
      <c r="A1581" s="161"/>
      <c r="B1581" s="44" t="s">
        <v>240</v>
      </c>
      <c r="C1581" s="45" t="s">
        <v>193</v>
      </c>
      <c r="D1581" s="46"/>
      <c r="E1581" s="47"/>
      <c r="F1581" s="16" t="s">
        <v>178</v>
      </c>
      <c r="G1581" s="113">
        <f>G1576+G1579</f>
        <v>569.25</v>
      </c>
      <c r="H1581" s="180"/>
      <c r="I1581" s="316"/>
    </row>
    <row r="1582" spans="1:9" s="179" customFormat="1" x14ac:dyDescent="0.25">
      <c r="A1582" s="161"/>
      <c r="B1582" s="30" t="s">
        <v>660</v>
      </c>
      <c r="C1582" s="51" t="s">
        <v>362</v>
      </c>
      <c r="D1582" s="32"/>
      <c r="E1582" s="69" t="s">
        <v>193</v>
      </c>
      <c r="F1582" s="33" t="s">
        <v>192</v>
      </c>
      <c r="G1582" s="34" t="s">
        <v>191</v>
      </c>
      <c r="H1582" s="180"/>
    </row>
    <row r="1583" spans="1:9" s="179" customFormat="1" x14ac:dyDescent="0.25">
      <c r="A1583" s="161"/>
      <c r="B1583" s="35" t="s">
        <v>0</v>
      </c>
      <c r="C1583" s="20" t="s">
        <v>1</v>
      </c>
      <c r="D1583" s="20" t="s">
        <v>190</v>
      </c>
      <c r="E1583" s="59" t="s">
        <v>189</v>
      </c>
      <c r="F1583" s="18" t="s">
        <v>188</v>
      </c>
      <c r="G1583" s="64" t="s">
        <v>187</v>
      </c>
      <c r="H1583" s="180"/>
    </row>
    <row r="1584" spans="1:9" s="179" customFormat="1" x14ac:dyDescent="0.25">
      <c r="A1584" s="161"/>
      <c r="B1584" s="356" t="s">
        <v>186</v>
      </c>
      <c r="C1584" s="357"/>
      <c r="D1584" s="216"/>
      <c r="E1584" s="26"/>
      <c r="F1584" s="36"/>
      <c r="G1584" s="37"/>
      <c r="H1584" s="180"/>
    </row>
    <row r="1585" spans="1:8" s="179" customFormat="1" x14ac:dyDescent="0.25">
      <c r="A1585" s="161"/>
      <c r="B1585" s="50">
        <v>88309</v>
      </c>
      <c r="C1585" s="17" t="s">
        <v>215</v>
      </c>
      <c r="D1585" s="216" t="s">
        <v>184</v>
      </c>
      <c r="E1585" s="71">
        <v>1.5</v>
      </c>
      <c r="F1585" s="27">
        <v>21.74</v>
      </c>
      <c r="G1585" s="37">
        <f>E1585*F1585</f>
        <v>32.61</v>
      </c>
      <c r="H1585" s="180"/>
    </row>
    <row r="1586" spans="1:8" s="179" customFormat="1" x14ac:dyDescent="0.25">
      <c r="A1586" s="161"/>
      <c r="B1586" s="50">
        <v>88316</v>
      </c>
      <c r="C1586" s="17" t="s">
        <v>201</v>
      </c>
      <c r="D1586" s="216" t="s">
        <v>184</v>
      </c>
      <c r="E1586" s="71">
        <v>1.5</v>
      </c>
      <c r="F1586" s="27">
        <v>16.21</v>
      </c>
      <c r="G1586" s="37">
        <f>E1586*F1586</f>
        <v>24.315000000000001</v>
      </c>
      <c r="H1586" s="180"/>
    </row>
    <row r="1587" spans="1:8" s="179" customFormat="1" x14ac:dyDescent="0.25">
      <c r="A1587" s="161"/>
      <c r="B1587" s="215"/>
      <c r="C1587" s="25"/>
      <c r="D1587" s="25"/>
      <c r="E1587" s="53"/>
      <c r="F1587" s="39" t="s">
        <v>183</v>
      </c>
      <c r="G1587" s="40">
        <f>SUM(G1585:G1586)</f>
        <v>56.924999999999997</v>
      </c>
      <c r="H1587" s="180"/>
    </row>
    <row r="1588" spans="1:8" s="179" customFormat="1" ht="15.75" thickBot="1" x14ac:dyDescent="0.3">
      <c r="A1588" s="161"/>
      <c r="B1588" s="215"/>
      <c r="C1588" s="17"/>
      <c r="D1588" s="25"/>
      <c r="E1588" s="26"/>
      <c r="F1588" s="16"/>
      <c r="G1588" s="43"/>
      <c r="H1588" s="180"/>
    </row>
    <row r="1589" spans="1:8" s="179" customFormat="1" ht="15.75" thickBot="1" x14ac:dyDescent="0.3">
      <c r="A1589" s="161"/>
      <c r="B1589" s="44" t="s">
        <v>240</v>
      </c>
      <c r="C1589" s="45" t="s">
        <v>193</v>
      </c>
      <c r="D1589" s="46"/>
      <c r="E1589" s="47"/>
      <c r="F1589" s="16" t="s">
        <v>178</v>
      </c>
      <c r="G1589" s="113">
        <f>G1587</f>
        <v>56.924999999999997</v>
      </c>
      <c r="H1589" s="180"/>
    </row>
    <row r="1590" spans="1:8" s="179" customFormat="1" ht="22.5" x14ac:dyDescent="0.25">
      <c r="A1590" s="161"/>
      <c r="B1590" s="30" t="s">
        <v>661</v>
      </c>
      <c r="C1590" s="51" t="s">
        <v>1047</v>
      </c>
      <c r="D1590" s="32"/>
      <c r="E1590" s="69" t="s">
        <v>193</v>
      </c>
      <c r="F1590" s="33" t="s">
        <v>192</v>
      </c>
      <c r="G1590" s="34" t="s">
        <v>357</v>
      </c>
      <c r="H1590" s="180"/>
    </row>
    <row r="1591" spans="1:8" s="179" customFormat="1" x14ac:dyDescent="0.25">
      <c r="A1591" s="161"/>
      <c r="B1591" s="35" t="s">
        <v>0</v>
      </c>
      <c r="C1591" s="20" t="s">
        <v>1</v>
      </c>
      <c r="D1591" s="20" t="s">
        <v>190</v>
      </c>
      <c r="E1591" s="59" t="s">
        <v>189</v>
      </c>
      <c r="F1591" s="18" t="s">
        <v>188</v>
      </c>
      <c r="G1591" s="64" t="s">
        <v>187</v>
      </c>
      <c r="H1591" s="180"/>
    </row>
    <row r="1592" spans="1:8" s="179" customFormat="1" x14ac:dyDescent="0.25">
      <c r="A1592" s="161"/>
      <c r="B1592" s="356" t="s">
        <v>186</v>
      </c>
      <c r="C1592" s="357"/>
      <c r="D1592" s="216"/>
      <c r="E1592" s="26"/>
      <c r="F1592" s="36"/>
      <c r="G1592" s="37"/>
      <c r="H1592" s="180"/>
    </row>
    <row r="1593" spans="1:8" s="179" customFormat="1" x14ac:dyDescent="0.25">
      <c r="A1593" s="161"/>
      <c r="B1593" s="50">
        <v>88267</v>
      </c>
      <c r="C1593" s="17" t="s">
        <v>210</v>
      </c>
      <c r="D1593" s="216" t="s">
        <v>184</v>
      </c>
      <c r="E1593" s="41">
        <v>3</v>
      </c>
      <c r="F1593" s="27">
        <v>21.67</v>
      </c>
      <c r="G1593" s="37">
        <f>E1593*F1593</f>
        <v>65.010000000000005</v>
      </c>
      <c r="H1593" s="180"/>
    </row>
    <row r="1594" spans="1:8" s="179" customFormat="1" x14ac:dyDescent="0.25">
      <c r="A1594" s="161"/>
      <c r="B1594" s="215"/>
      <c r="C1594" s="25"/>
      <c r="D1594" s="25"/>
      <c r="E1594" s="53"/>
      <c r="F1594" s="39" t="s">
        <v>183</v>
      </c>
      <c r="G1594" s="40">
        <f>SUM(G1593:G1593)</f>
        <v>65.010000000000005</v>
      </c>
      <c r="H1594" s="180"/>
    </row>
    <row r="1595" spans="1:8" s="179" customFormat="1" ht="15.75" thickBot="1" x14ac:dyDescent="0.3">
      <c r="A1595" s="161"/>
      <c r="B1595" s="215"/>
      <c r="C1595" s="17"/>
      <c r="D1595" s="25"/>
      <c r="E1595" s="26"/>
      <c r="F1595" s="16"/>
      <c r="G1595" s="43"/>
      <c r="H1595" s="180"/>
    </row>
    <row r="1596" spans="1:8" s="179" customFormat="1" ht="15.75" thickBot="1" x14ac:dyDescent="0.3">
      <c r="A1596" s="161"/>
      <c r="B1596" s="44" t="s">
        <v>240</v>
      </c>
      <c r="C1596" s="45" t="s">
        <v>193</v>
      </c>
      <c r="D1596" s="46"/>
      <c r="E1596" s="47"/>
      <c r="F1596" s="16" t="s">
        <v>178</v>
      </c>
      <c r="G1596" s="113">
        <f>G1594</f>
        <v>65.010000000000005</v>
      </c>
      <c r="H1596" s="180"/>
    </row>
    <row r="1597" spans="1:8" s="179" customFormat="1" ht="15.75" thickBot="1" x14ac:dyDescent="0.3">
      <c r="A1597" s="161"/>
      <c r="B1597" s="23" t="s">
        <v>662</v>
      </c>
      <c r="C1597" s="22" t="s">
        <v>27</v>
      </c>
      <c r="D1597" s="21"/>
      <c r="E1597" s="21"/>
      <c r="F1597" s="21"/>
      <c r="G1597" s="21"/>
      <c r="H1597" s="180"/>
    </row>
    <row r="1598" spans="1:8" s="179" customFormat="1" x14ac:dyDescent="0.25">
      <c r="A1598" s="161"/>
      <c r="B1598" s="30" t="s">
        <v>663</v>
      </c>
      <c r="C1598" s="51" t="s">
        <v>1056</v>
      </c>
      <c r="D1598" s="32"/>
      <c r="E1598" s="69" t="s">
        <v>193</v>
      </c>
      <c r="F1598" s="33" t="s">
        <v>192</v>
      </c>
      <c r="G1598" s="34" t="s">
        <v>357</v>
      </c>
      <c r="H1598" s="180"/>
    </row>
    <row r="1599" spans="1:8" s="179" customFormat="1" x14ac:dyDescent="0.25">
      <c r="A1599" s="161"/>
      <c r="B1599" s="35" t="s">
        <v>0</v>
      </c>
      <c r="C1599" s="20" t="s">
        <v>1</v>
      </c>
      <c r="D1599" s="20" t="s">
        <v>190</v>
      </c>
      <c r="E1599" s="59" t="s">
        <v>189</v>
      </c>
      <c r="F1599" s="18" t="s">
        <v>188</v>
      </c>
      <c r="G1599" s="64" t="s">
        <v>187</v>
      </c>
      <c r="H1599" s="180"/>
    </row>
    <row r="1600" spans="1:8" s="179" customFormat="1" x14ac:dyDescent="0.25">
      <c r="A1600" s="161"/>
      <c r="B1600" s="356" t="s">
        <v>186</v>
      </c>
      <c r="C1600" s="357"/>
      <c r="D1600" s="216"/>
      <c r="E1600" s="26"/>
      <c r="F1600" s="36"/>
      <c r="G1600" s="37"/>
      <c r="H1600" s="180"/>
    </row>
    <row r="1601" spans="1:8" s="179" customFormat="1" x14ac:dyDescent="0.25">
      <c r="A1601" s="161"/>
      <c r="B1601" s="50">
        <v>88267</v>
      </c>
      <c r="C1601" s="17" t="s">
        <v>210</v>
      </c>
      <c r="D1601" s="216" t="s">
        <v>184</v>
      </c>
      <c r="E1601" s="41">
        <v>4</v>
      </c>
      <c r="F1601" s="27">
        <v>21.67</v>
      </c>
      <c r="G1601" s="37">
        <f>E1601*F1601</f>
        <v>86.68</v>
      </c>
      <c r="H1601" s="180"/>
    </row>
    <row r="1602" spans="1:8" s="179" customFormat="1" x14ac:dyDescent="0.25">
      <c r="A1602" s="161"/>
      <c r="B1602" s="50">
        <v>88243</v>
      </c>
      <c r="C1602" s="17" t="s">
        <v>395</v>
      </c>
      <c r="D1602" s="216" t="s">
        <v>184</v>
      </c>
      <c r="E1602" s="54">
        <v>4</v>
      </c>
      <c r="F1602" s="27">
        <v>17.29</v>
      </c>
      <c r="G1602" s="37">
        <f>E1602*F1602</f>
        <v>69.16</v>
      </c>
      <c r="H1602" s="180"/>
    </row>
    <row r="1603" spans="1:8" s="179" customFormat="1" x14ac:dyDescent="0.25">
      <c r="A1603" s="161"/>
      <c r="B1603" s="215"/>
      <c r="C1603" s="25"/>
      <c r="D1603" s="25"/>
      <c r="E1603" s="53"/>
      <c r="F1603" s="39" t="s">
        <v>183</v>
      </c>
      <c r="G1603" s="40">
        <f>SUM(G1601:G1602)</f>
        <v>155.84</v>
      </c>
      <c r="H1603" s="180"/>
    </row>
    <row r="1604" spans="1:8" s="179" customFormat="1" ht="15.75" thickBot="1" x14ac:dyDescent="0.3">
      <c r="A1604" s="161"/>
      <c r="B1604" s="215"/>
      <c r="C1604" s="17"/>
      <c r="D1604" s="25"/>
      <c r="E1604" s="26"/>
      <c r="F1604" s="16"/>
      <c r="G1604" s="43"/>
      <c r="H1604" s="180"/>
    </row>
    <row r="1605" spans="1:8" s="179" customFormat="1" ht="15.75" thickBot="1" x14ac:dyDescent="0.3">
      <c r="A1605" s="161"/>
      <c r="B1605" s="44" t="s">
        <v>240</v>
      </c>
      <c r="C1605" s="45" t="s">
        <v>193</v>
      </c>
      <c r="D1605" s="46"/>
      <c r="E1605" s="47"/>
      <c r="F1605" s="16" t="s">
        <v>178</v>
      </c>
      <c r="G1605" s="113">
        <f>G1603</f>
        <v>155.84</v>
      </c>
      <c r="H1605" s="180"/>
    </row>
    <row r="1606" spans="1:8" s="179" customFormat="1" x14ac:dyDescent="0.25">
      <c r="A1606" s="161"/>
      <c r="B1606" s="30" t="s">
        <v>664</v>
      </c>
      <c r="C1606" s="51" t="s">
        <v>355</v>
      </c>
      <c r="D1606" s="32"/>
      <c r="E1606" s="69" t="s">
        <v>193</v>
      </c>
      <c r="F1606" s="33" t="s">
        <v>192</v>
      </c>
      <c r="G1606" s="34" t="s">
        <v>191</v>
      </c>
      <c r="H1606" s="180"/>
    </row>
    <row r="1607" spans="1:8" s="179" customFormat="1" x14ac:dyDescent="0.25">
      <c r="A1607" s="161"/>
      <c r="B1607" s="35" t="s">
        <v>0</v>
      </c>
      <c r="C1607" s="20" t="s">
        <v>1</v>
      </c>
      <c r="D1607" s="20" t="s">
        <v>190</v>
      </c>
      <c r="E1607" s="59" t="s">
        <v>189</v>
      </c>
      <c r="F1607" s="18" t="s">
        <v>188</v>
      </c>
      <c r="G1607" s="64" t="s">
        <v>187</v>
      </c>
      <c r="H1607" s="180"/>
    </row>
    <row r="1608" spans="1:8" s="179" customFormat="1" x14ac:dyDescent="0.25">
      <c r="A1608" s="161"/>
      <c r="B1608" s="356" t="s">
        <v>182</v>
      </c>
      <c r="C1608" s="357"/>
      <c r="D1608" s="216"/>
      <c r="E1608" s="26"/>
      <c r="F1608" s="36"/>
      <c r="G1608" s="37"/>
      <c r="H1608" s="180"/>
    </row>
    <row r="1609" spans="1:8" s="179" customFormat="1" x14ac:dyDescent="0.25">
      <c r="A1609" s="240"/>
      <c r="B1609" s="50" t="str">
        <f>'MAPA COTAÇÃO'!B156</f>
        <v>COT- 29</v>
      </c>
      <c r="C1609" s="17" t="str">
        <f>'MAPA COTAÇÃO'!B161</f>
        <v>RECARGA DE EXTINTOR ÁGUA PRESSURIZADA10L</v>
      </c>
      <c r="D1609" s="216" t="str">
        <f>'MAPA COTAÇÃO'!D161</f>
        <v>UNID.</v>
      </c>
      <c r="E1609" s="41">
        <v>1</v>
      </c>
      <c r="F1609" s="27">
        <f>'MAPA COTAÇÃO'!J161</f>
        <v>45</v>
      </c>
      <c r="G1609" s="37">
        <f>E1609*F1609</f>
        <v>45</v>
      </c>
      <c r="H1609" s="180"/>
    </row>
    <row r="1610" spans="1:8" s="179" customFormat="1" x14ac:dyDescent="0.25">
      <c r="A1610" s="161"/>
      <c r="B1610" s="215"/>
      <c r="C1610" s="25"/>
      <c r="D1610" s="25"/>
      <c r="E1610" s="53"/>
      <c r="F1610" s="39" t="s">
        <v>1011</v>
      </c>
      <c r="G1610" s="40">
        <f>SUM(G1609:G1609)</f>
        <v>45</v>
      </c>
      <c r="H1610" s="180"/>
    </row>
    <row r="1611" spans="1:8" s="179" customFormat="1" ht="15.75" thickBot="1" x14ac:dyDescent="0.3">
      <c r="A1611" s="161"/>
      <c r="B1611" s="215"/>
      <c r="C1611" s="17" t="s">
        <v>682</v>
      </c>
      <c r="D1611" s="25"/>
      <c r="E1611" s="26"/>
      <c r="F1611" s="16"/>
      <c r="G1611" s="43"/>
      <c r="H1611" s="180"/>
    </row>
    <row r="1612" spans="1:8" s="179" customFormat="1" ht="15.75" thickBot="1" x14ac:dyDescent="0.3">
      <c r="A1612" s="161"/>
      <c r="B1612" s="44" t="s">
        <v>240</v>
      </c>
      <c r="C1612" s="45" t="s">
        <v>193</v>
      </c>
      <c r="D1612" s="46"/>
      <c r="E1612" s="47"/>
      <c r="F1612" s="16" t="s">
        <v>178</v>
      </c>
      <c r="G1612" s="113">
        <f>G1610</f>
        <v>45</v>
      </c>
      <c r="H1612" s="180"/>
    </row>
    <row r="1613" spans="1:8" s="179" customFormat="1" x14ac:dyDescent="0.25">
      <c r="A1613" s="161"/>
      <c r="B1613" s="30" t="s">
        <v>665</v>
      </c>
      <c r="C1613" s="51" t="s">
        <v>1176</v>
      </c>
      <c r="D1613" s="32"/>
      <c r="E1613" s="69" t="s">
        <v>193</v>
      </c>
      <c r="F1613" s="33" t="s">
        <v>192</v>
      </c>
      <c r="G1613" s="34" t="s">
        <v>191</v>
      </c>
      <c r="H1613" s="180"/>
    </row>
    <row r="1614" spans="1:8" s="179" customFormat="1" x14ac:dyDescent="0.25">
      <c r="A1614" s="161"/>
      <c r="B1614" s="35" t="s">
        <v>0</v>
      </c>
      <c r="C1614" s="20" t="s">
        <v>1</v>
      </c>
      <c r="D1614" s="20" t="s">
        <v>190</v>
      </c>
      <c r="E1614" s="59" t="s">
        <v>189</v>
      </c>
      <c r="F1614" s="18" t="s">
        <v>188</v>
      </c>
      <c r="G1614" s="64" t="s">
        <v>187</v>
      </c>
      <c r="H1614" s="180"/>
    </row>
    <row r="1615" spans="1:8" s="179" customFormat="1" x14ac:dyDescent="0.25">
      <c r="A1615" s="161"/>
      <c r="B1615" s="356" t="s">
        <v>182</v>
      </c>
      <c r="C1615" s="357"/>
      <c r="D1615" s="216"/>
      <c r="E1615" s="26"/>
      <c r="F1615" s="36"/>
      <c r="G1615" s="37"/>
      <c r="H1615" s="180"/>
    </row>
    <row r="1616" spans="1:8" s="179" customFormat="1" x14ac:dyDescent="0.25">
      <c r="A1616" s="240"/>
      <c r="B1616" s="50" t="str">
        <f>'MAPA COTAÇÃO'!B157</f>
        <v>COT- 30</v>
      </c>
      <c r="C1616" s="17" t="str">
        <f>'MAPA COTAÇÃO'!B162</f>
        <v>RECARGA DE EXTINTOR CO2 6KG</v>
      </c>
      <c r="D1616" s="216" t="str">
        <f>'MAPA COTAÇÃO'!D162</f>
        <v>UNID.</v>
      </c>
      <c r="E1616" s="41">
        <v>1</v>
      </c>
      <c r="F1616" s="27">
        <f>'MAPA COTAÇÃO'!J164</f>
        <v>57.115384615384613</v>
      </c>
      <c r="G1616" s="37">
        <f>E1616*F1616</f>
        <v>57.115384615384613</v>
      </c>
      <c r="H1616" s="180"/>
    </row>
    <row r="1617" spans="1:8" s="179" customFormat="1" x14ac:dyDescent="0.25">
      <c r="A1617" s="161"/>
      <c r="B1617" s="215"/>
      <c r="C1617" s="25"/>
      <c r="D1617" s="25"/>
      <c r="E1617" s="53"/>
      <c r="F1617" s="39" t="s">
        <v>1011</v>
      </c>
      <c r="G1617" s="40">
        <f>SUM(G1616:G1616)</f>
        <v>57.115384615384613</v>
      </c>
      <c r="H1617" s="180"/>
    </row>
    <row r="1618" spans="1:8" s="179" customFormat="1" ht="15.75" thickBot="1" x14ac:dyDescent="0.3">
      <c r="A1618" s="161"/>
      <c r="B1618" s="215"/>
      <c r="C1618" s="17" t="s">
        <v>682</v>
      </c>
      <c r="D1618" s="25"/>
      <c r="E1618" s="26"/>
      <c r="F1618" s="16"/>
      <c r="G1618" s="43"/>
      <c r="H1618" s="180"/>
    </row>
    <row r="1619" spans="1:8" s="179" customFormat="1" ht="15.75" thickBot="1" x14ac:dyDescent="0.3">
      <c r="A1619" s="161"/>
      <c r="B1619" s="44" t="s">
        <v>240</v>
      </c>
      <c r="C1619" s="45" t="s">
        <v>193</v>
      </c>
      <c r="D1619" s="46"/>
      <c r="E1619" s="47"/>
      <c r="F1619" s="16" t="s">
        <v>178</v>
      </c>
      <c r="G1619" s="113">
        <f>G1617</f>
        <v>57.115384615384613</v>
      </c>
      <c r="H1619" s="180"/>
    </row>
    <row r="1620" spans="1:8" s="179" customFormat="1" ht="15.75" thickBot="1" x14ac:dyDescent="0.3">
      <c r="A1620" s="161"/>
      <c r="B1620" s="23" t="s">
        <v>1230</v>
      </c>
      <c r="C1620" s="22" t="s">
        <v>25</v>
      </c>
      <c r="D1620" s="21"/>
      <c r="E1620" s="21"/>
      <c r="F1620" s="21"/>
      <c r="G1620" s="21"/>
    </row>
    <row r="1621" spans="1:8" s="179" customFormat="1" x14ac:dyDescent="0.25">
      <c r="A1621" s="161"/>
      <c r="B1621" s="30" t="s">
        <v>1231</v>
      </c>
      <c r="C1621" s="51" t="s">
        <v>1232</v>
      </c>
      <c r="D1621" s="32"/>
      <c r="E1621" s="69" t="s">
        <v>193</v>
      </c>
      <c r="F1621" s="33" t="s">
        <v>192</v>
      </c>
      <c r="G1621" s="34" t="s">
        <v>357</v>
      </c>
    </row>
    <row r="1622" spans="1:8" s="179" customFormat="1" x14ac:dyDescent="0.25">
      <c r="A1622" s="161"/>
      <c r="B1622" s="35" t="s">
        <v>0</v>
      </c>
      <c r="C1622" s="20" t="s">
        <v>1</v>
      </c>
      <c r="D1622" s="20" t="s">
        <v>190</v>
      </c>
      <c r="E1622" s="59" t="s">
        <v>189</v>
      </c>
      <c r="F1622" s="18" t="s">
        <v>188</v>
      </c>
      <c r="G1622" s="64" t="s">
        <v>187</v>
      </c>
    </row>
    <row r="1623" spans="1:8" s="179" customFormat="1" x14ac:dyDescent="0.25">
      <c r="A1623" s="161"/>
      <c r="B1623" s="356" t="s">
        <v>186</v>
      </c>
      <c r="C1623" s="357"/>
      <c r="D1623" s="326"/>
      <c r="E1623" s="26"/>
      <c r="F1623" s="36"/>
      <c r="G1623" s="37"/>
    </row>
    <row r="1624" spans="1:8" s="179" customFormat="1" x14ac:dyDescent="0.25">
      <c r="A1624" s="161"/>
      <c r="B1624" s="50">
        <v>88266</v>
      </c>
      <c r="C1624" s="17" t="s">
        <v>1233</v>
      </c>
      <c r="D1624" s="326" t="s">
        <v>184</v>
      </c>
      <c r="E1624" s="41">
        <v>7</v>
      </c>
      <c r="F1624" s="42">
        <v>37.92</v>
      </c>
      <c r="G1624" s="37">
        <f>E1624*F1624</f>
        <v>265.44</v>
      </c>
    </row>
    <row r="1625" spans="1:8" s="179" customFormat="1" x14ac:dyDescent="0.25">
      <c r="A1625" s="161"/>
      <c r="B1625" s="50">
        <v>88243</v>
      </c>
      <c r="C1625" s="17" t="s">
        <v>395</v>
      </c>
      <c r="D1625" s="326" t="s">
        <v>184</v>
      </c>
      <c r="E1625" s="54">
        <v>7</v>
      </c>
      <c r="F1625" s="27">
        <v>17.29</v>
      </c>
      <c r="G1625" s="37">
        <f>E1625*F1625</f>
        <v>121.03</v>
      </c>
    </row>
    <row r="1626" spans="1:8" s="179" customFormat="1" x14ac:dyDescent="0.25">
      <c r="A1626" s="161"/>
      <c r="B1626" s="325"/>
      <c r="C1626" s="25"/>
      <c r="D1626" s="25"/>
      <c r="E1626" s="53"/>
      <c r="F1626" s="39" t="s">
        <v>183</v>
      </c>
      <c r="G1626" s="40">
        <f>SUM(G1624:G1625)</f>
        <v>386.47</v>
      </c>
    </row>
    <row r="1627" spans="1:8" s="179" customFormat="1" ht="15.75" thickBot="1" x14ac:dyDescent="0.3">
      <c r="A1627" s="161"/>
      <c r="B1627" s="325"/>
      <c r="C1627" s="17"/>
      <c r="D1627" s="25"/>
      <c r="E1627" s="26"/>
      <c r="F1627" s="16"/>
      <c r="G1627" s="43"/>
    </row>
    <row r="1628" spans="1:8" s="179" customFormat="1" ht="15.75" thickBot="1" x14ac:dyDescent="0.3">
      <c r="A1628" s="161"/>
      <c r="B1628" s="44" t="s">
        <v>240</v>
      </c>
      <c r="C1628" s="45" t="s">
        <v>193</v>
      </c>
      <c r="D1628" s="46"/>
      <c r="E1628" s="47"/>
      <c r="F1628" s="16" t="s">
        <v>178</v>
      </c>
      <c r="G1628" s="113">
        <f>G1626</f>
        <v>386.47</v>
      </c>
    </row>
  </sheetData>
  <mergeCells count="235">
    <mergeCell ref="B1422:C1422"/>
    <mergeCell ref="B1385:C1385"/>
    <mergeCell ref="B1389:C1389"/>
    <mergeCell ref="B1557:C1557"/>
    <mergeCell ref="B1565:C1565"/>
    <mergeCell ref="B1502:C1502"/>
    <mergeCell ref="B1584:C1584"/>
    <mergeCell ref="B1592:C1592"/>
    <mergeCell ref="B1600:C1600"/>
    <mergeCell ref="B1536:C1536"/>
    <mergeCell ref="B1573:C1573"/>
    <mergeCell ref="B1577:C1577"/>
    <mergeCell ref="B1415:C1415"/>
    <mergeCell ref="B1018:C1018"/>
    <mergeCell ref="B1030:C1030"/>
    <mergeCell ref="B870:C870"/>
    <mergeCell ref="B1119:C1119"/>
    <mergeCell ref="B1124:C1124"/>
    <mergeCell ref="B1036:C1036"/>
    <mergeCell ref="B925:C925"/>
    <mergeCell ref="B933:C933"/>
    <mergeCell ref="B958:C958"/>
    <mergeCell ref="B966:C966"/>
    <mergeCell ref="B991:C991"/>
    <mergeCell ref="B999:C999"/>
    <mergeCell ref="B1010:C1010"/>
    <mergeCell ref="B815:C815"/>
    <mergeCell ref="B854:C854"/>
    <mergeCell ref="B847:C847"/>
    <mergeCell ref="B789:C789"/>
    <mergeCell ref="B792:C792"/>
    <mergeCell ref="B824:C824"/>
    <mergeCell ref="B827:C827"/>
    <mergeCell ref="B834:C834"/>
    <mergeCell ref="B837:C837"/>
    <mergeCell ref="B844:C844"/>
    <mergeCell ref="B623:C623"/>
    <mergeCell ref="B182:C182"/>
    <mergeCell ref="B165:C165"/>
    <mergeCell ref="B190:C190"/>
    <mergeCell ref="B194:C194"/>
    <mergeCell ref="B178:C178"/>
    <mergeCell ref="B202:C202"/>
    <mergeCell ref="B1189:C1189"/>
    <mergeCell ref="B761:C761"/>
    <mergeCell ref="B914:C914"/>
    <mergeCell ref="B779:C779"/>
    <mergeCell ref="B765:C765"/>
    <mergeCell ref="B711:C711"/>
    <mergeCell ref="B715:C715"/>
    <mergeCell ref="B723:C723"/>
    <mergeCell ref="B727:C727"/>
    <mergeCell ref="B858:C858"/>
    <mergeCell ref="B735:C735"/>
    <mergeCell ref="B738:C738"/>
    <mergeCell ref="B745:C745"/>
    <mergeCell ref="B749:C749"/>
    <mergeCell ref="B799:C799"/>
    <mergeCell ref="B803:C803"/>
    <mergeCell ref="B810:C810"/>
    <mergeCell ref="B1203:C1203"/>
    <mergeCell ref="B1206:C1206"/>
    <mergeCell ref="B877:C877"/>
    <mergeCell ref="B1193:C1193"/>
    <mergeCell ref="B917:C917"/>
    <mergeCell ref="B881:C881"/>
    <mergeCell ref="B902:C902"/>
    <mergeCell ref="B906:C906"/>
    <mergeCell ref="B1142:C1142"/>
    <mergeCell ref="B1145:C1145"/>
    <mergeCell ref="B889:C889"/>
    <mergeCell ref="B894:C894"/>
    <mergeCell ref="B1180:C1180"/>
    <mergeCell ref="B1057:C1057"/>
    <mergeCell ref="B1062:C1062"/>
    <mergeCell ref="B1080:C1080"/>
    <mergeCell ref="B1086:C1086"/>
    <mergeCell ref="B1153:C1153"/>
    <mergeCell ref="B1157:C1157"/>
    <mergeCell ref="B1165:C1165"/>
    <mergeCell ref="B1169:C1169"/>
    <mergeCell ref="B1176:C1176"/>
    <mergeCell ref="B1105:C1105"/>
    <mergeCell ref="B1109:C1109"/>
    <mergeCell ref="B427:C427"/>
    <mergeCell ref="B431:C431"/>
    <mergeCell ref="B283:C283"/>
    <mergeCell ref="B261:C261"/>
    <mergeCell ref="B315:C315"/>
    <mergeCell ref="B5:G5"/>
    <mergeCell ref="B258:C258"/>
    <mergeCell ref="B380:C380"/>
    <mergeCell ref="B384:C384"/>
    <mergeCell ref="B128:C128"/>
    <mergeCell ref="B132:C132"/>
    <mergeCell ref="B153:C153"/>
    <mergeCell ref="B250:C250"/>
    <mergeCell ref="B588:C588"/>
    <mergeCell ref="B299:C299"/>
    <mergeCell ref="B397:C397"/>
    <mergeCell ref="B645:C645"/>
    <mergeCell ref="B775:C775"/>
    <mergeCell ref="B867:C867"/>
    <mergeCell ref="B11:C11"/>
    <mergeCell ref="B15:C15"/>
    <mergeCell ref="B115:C115"/>
    <mergeCell ref="B119:C119"/>
    <mergeCell ref="B89:C89"/>
    <mergeCell ref="B93:C93"/>
    <mergeCell ref="B66:C66"/>
    <mergeCell ref="B47:C47"/>
    <mergeCell ref="B52:C52"/>
    <mergeCell ref="B75:C75"/>
    <mergeCell ref="B79:C79"/>
    <mergeCell ref="B23:C23"/>
    <mergeCell ref="B63:C63"/>
    <mergeCell ref="B102:C102"/>
    <mergeCell ref="B32:C32"/>
    <mergeCell ref="B36:C36"/>
    <mergeCell ref="B106:C106"/>
    <mergeCell ref="B528:C528"/>
    <mergeCell ref="B584:C584"/>
    <mergeCell ref="B157:C157"/>
    <mergeCell ref="B168:C168"/>
    <mergeCell ref="B145:C145"/>
    <mergeCell ref="B141:C141"/>
    <mergeCell ref="B206:C206"/>
    <mergeCell ref="B217:C217"/>
    <mergeCell ref="B220:C220"/>
    <mergeCell ref="B393:C393"/>
    <mergeCell ref="B247:C247"/>
    <mergeCell ref="B513:C513"/>
    <mergeCell ref="B227:C227"/>
    <mergeCell ref="B230:C230"/>
    <mergeCell ref="B237:C237"/>
    <mergeCell ref="B287:C287"/>
    <mergeCell ref="B517:C517"/>
    <mergeCell ref="B524:C524"/>
    <mergeCell ref="B494:C494"/>
    <mergeCell ref="B271:C271"/>
    <mergeCell ref="B275:C275"/>
    <mergeCell ref="B240:C240"/>
    <mergeCell ref="B443:C443"/>
    <mergeCell ref="B416:C416"/>
    <mergeCell ref="B420:C420"/>
    <mergeCell ref="B464:C464"/>
    <mergeCell ref="B468:C468"/>
    <mergeCell ref="B479:C479"/>
    <mergeCell ref="B454:C454"/>
    <mergeCell ref="B450:C450"/>
    <mergeCell ref="B439:C439"/>
    <mergeCell ref="B564:C564"/>
    <mergeCell ref="B572:C572"/>
    <mergeCell ref="B576:C576"/>
    <mergeCell ref="B326:C326"/>
    <mergeCell ref="B331:C331"/>
    <mergeCell ref="B340:C340"/>
    <mergeCell ref="B295:C295"/>
    <mergeCell ref="B344:C344"/>
    <mergeCell ref="B354:C354"/>
    <mergeCell ref="B358:C358"/>
    <mergeCell ref="B366:C366"/>
    <mergeCell ref="B370:C370"/>
    <mergeCell ref="B1294:C1294"/>
    <mergeCell ref="B1216:C1216"/>
    <mergeCell ref="B1220:C1220"/>
    <mergeCell ref="B1251:C1251"/>
    <mergeCell ref="B1254:C1254"/>
    <mergeCell ref="B1240:C1240"/>
    <mergeCell ref="B1243:C1243"/>
    <mergeCell ref="B1280:C1280"/>
    <mergeCell ref="B1283:C1283"/>
    <mergeCell ref="B1262:C1262"/>
    <mergeCell ref="B1266:C1266"/>
    <mergeCell ref="B1291:C1291"/>
    <mergeCell ref="B1229:C1229"/>
    <mergeCell ref="B1232:C1232"/>
    <mergeCell ref="B634:C634"/>
    <mergeCell ref="B697:C697"/>
    <mergeCell ref="B652:C652"/>
    <mergeCell ref="B405:C405"/>
    <mergeCell ref="B409:C409"/>
    <mergeCell ref="B641:C641"/>
    <mergeCell ref="B656:C656"/>
    <mergeCell ref="B608:C608"/>
    <mergeCell ref="B612:C612"/>
    <mergeCell ref="B619:C619"/>
    <mergeCell ref="B679:C679"/>
    <mergeCell ref="B601:C601"/>
    <mergeCell ref="B597:C597"/>
    <mergeCell ref="B552:C552"/>
    <mergeCell ref="B560:C560"/>
    <mergeCell ref="B666:C666"/>
    <mergeCell ref="B684:C684"/>
    <mergeCell ref="B663:C663"/>
    <mergeCell ref="B630:C630"/>
    <mergeCell ref="B548:C548"/>
    <mergeCell ref="B483:C483"/>
    <mergeCell ref="B498:C498"/>
    <mergeCell ref="B536:C536"/>
    <mergeCell ref="B540:C540"/>
    <mergeCell ref="B702:C702"/>
    <mergeCell ref="B1303:C1303"/>
    <mergeCell ref="B1458:C1458"/>
    <mergeCell ref="B1333:C1333"/>
    <mergeCell ref="B1338:C1338"/>
    <mergeCell ref="B1307:C1307"/>
    <mergeCell ref="B1545:C1545"/>
    <mergeCell ref="B1548:C1548"/>
    <mergeCell ref="B1463:C1463"/>
    <mergeCell ref="B1450:C1450"/>
    <mergeCell ref="B1446:C1446"/>
    <mergeCell ref="B1373:C1373"/>
    <mergeCell ref="B1377:C1377"/>
    <mergeCell ref="B1351:C1351"/>
    <mergeCell ref="B1354:C1354"/>
    <mergeCell ref="B1361:C1361"/>
    <mergeCell ref="B1365:C1365"/>
    <mergeCell ref="B1323:C1323"/>
    <mergeCell ref="B1319:C1319"/>
    <mergeCell ref="B1430:C1430"/>
    <mergeCell ref="B1397:C1397"/>
    <mergeCell ref="B1408:C1408"/>
    <mergeCell ref="B1401:C1401"/>
    <mergeCell ref="B1438:C1438"/>
    <mergeCell ref="B1623:C1623"/>
    <mergeCell ref="B1473:C1473"/>
    <mergeCell ref="B1476:C1476"/>
    <mergeCell ref="B1485:C1485"/>
    <mergeCell ref="B1493:C1493"/>
    <mergeCell ref="B1511:C1511"/>
    <mergeCell ref="B1519:C1519"/>
    <mergeCell ref="B1528:C1528"/>
    <mergeCell ref="B1608:C1608"/>
    <mergeCell ref="B1615:C1615"/>
  </mergeCells>
  <pageMargins left="0.511811024" right="0.511811024" top="0.78740157499999996" bottom="0.78740157499999996" header="0.31496062000000002" footer="0.31496062000000002"/>
  <pageSetup paperSize="9" scale="75" orientation="portrait" horizontalDpi="300" verticalDpi="300" r:id="rId1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M1553"/>
  <sheetViews>
    <sheetView zoomScale="70" zoomScaleNormal="70" zoomScaleSheetLayoutView="90" workbookViewId="0"/>
  </sheetViews>
  <sheetFormatPr defaultRowHeight="15" x14ac:dyDescent="0.25"/>
  <cols>
    <col min="1" max="1" width="9.140625" style="137"/>
    <col min="2" max="2" width="71.85546875" style="137" customWidth="1"/>
    <col min="3" max="3" width="8.5703125" style="137" customWidth="1"/>
    <col min="4" max="4" width="16.85546875" style="137" bestFit="1" customWidth="1"/>
    <col min="5" max="5" width="16.85546875" style="137" customWidth="1"/>
    <col min="6" max="6" width="42.85546875" style="137" bestFit="1" customWidth="1"/>
    <col min="7" max="7" width="38.42578125" style="137" bestFit="1" customWidth="1"/>
    <col min="8" max="8" width="35.5703125" style="137" bestFit="1" customWidth="1"/>
    <col min="9" max="9" width="36.5703125" style="137" bestFit="1" customWidth="1"/>
    <col min="10" max="10" width="22" style="137" bestFit="1" customWidth="1"/>
    <col min="11" max="11" width="28" style="137" bestFit="1" customWidth="1"/>
    <col min="12" max="12" width="28.28515625" style="137" bestFit="1" customWidth="1"/>
    <col min="13" max="13" width="23.140625" style="137" bestFit="1" customWidth="1"/>
    <col min="14" max="16384" width="9.140625" style="137"/>
  </cols>
  <sheetData>
    <row r="4" spans="1:12" ht="15.75" x14ac:dyDescent="0.25">
      <c r="B4" s="100" t="s">
        <v>731</v>
      </c>
    </row>
    <row r="5" spans="1:12" ht="15.75" x14ac:dyDescent="0.25">
      <c r="B5" s="252" t="s">
        <v>732</v>
      </c>
    </row>
    <row r="6" spans="1:12" s="179" customFormat="1" ht="18.75" x14ac:dyDescent="0.3">
      <c r="B6" s="251" t="s">
        <v>1102</v>
      </c>
      <c r="C6" s="366" t="s">
        <v>733</v>
      </c>
      <c r="D6" s="366"/>
      <c r="E6" s="366"/>
      <c r="F6" s="366"/>
      <c r="G6" s="366"/>
      <c r="H6" s="366"/>
      <c r="I6" s="366"/>
    </row>
    <row r="7" spans="1:12" x14ac:dyDescent="0.25">
      <c r="K7" s="179"/>
      <c r="L7" s="179"/>
    </row>
    <row r="8" spans="1:12" ht="15.75" x14ac:dyDescent="0.25">
      <c r="A8" s="179"/>
      <c r="B8" s="166" t="s">
        <v>680</v>
      </c>
      <c r="C8" s="148"/>
      <c r="D8" s="370" t="s">
        <v>684</v>
      </c>
      <c r="E8" s="149"/>
      <c r="F8" s="371" t="s">
        <v>675</v>
      </c>
      <c r="G8" s="371"/>
      <c r="H8" s="371"/>
      <c r="I8" s="371"/>
      <c r="J8" s="367" t="s">
        <v>685</v>
      </c>
      <c r="K8" s="179"/>
      <c r="L8" s="179"/>
    </row>
    <row r="9" spans="1:12" ht="15.75" x14ac:dyDescent="0.25">
      <c r="A9" s="179"/>
      <c r="B9" s="167"/>
      <c r="C9" s="150"/>
      <c r="D9" s="370"/>
      <c r="E9" s="149" t="s">
        <v>676</v>
      </c>
      <c r="F9" s="164" t="s">
        <v>724</v>
      </c>
      <c r="G9" s="164" t="s">
        <v>728</v>
      </c>
      <c r="H9" s="330" t="s">
        <v>1183</v>
      </c>
      <c r="I9" s="101"/>
      <c r="J9" s="368"/>
      <c r="K9" s="179"/>
      <c r="L9" s="179"/>
    </row>
    <row r="10" spans="1:12" ht="15.75" x14ac:dyDescent="0.25">
      <c r="A10" s="179"/>
      <c r="B10" s="167"/>
      <c r="C10" s="150" t="s">
        <v>683</v>
      </c>
      <c r="D10" s="370"/>
      <c r="E10" s="149" t="s">
        <v>677</v>
      </c>
      <c r="F10" s="164" t="s">
        <v>723</v>
      </c>
      <c r="G10" s="164" t="s">
        <v>729</v>
      </c>
      <c r="H10" s="330" t="s">
        <v>1184</v>
      </c>
      <c r="I10" s="101"/>
      <c r="J10" s="368"/>
      <c r="K10" s="179"/>
      <c r="L10" s="179"/>
    </row>
    <row r="11" spans="1:12" ht="15.75" x14ac:dyDescent="0.25">
      <c r="A11" s="179"/>
      <c r="B11" s="167"/>
      <c r="C11" s="150"/>
      <c r="D11" s="370"/>
      <c r="E11" s="149" t="s">
        <v>678</v>
      </c>
      <c r="F11" s="164" t="s">
        <v>778</v>
      </c>
      <c r="G11" s="164" t="s">
        <v>779</v>
      </c>
      <c r="H11" s="330" t="s">
        <v>1185</v>
      </c>
      <c r="I11" s="101"/>
      <c r="J11" s="368"/>
      <c r="K11" s="179"/>
      <c r="L11" s="179"/>
    </row>
    <row r="12" spans="1:12" ht="15.75" x14ac:dyDescent="0.25">
      <c r="A12" s="179"/>
      <c r="B12" s="168"/>
      <c r="C12" s="153"/>
      <c r="D12" s="370"/>
      <c r="E12" s="149" t="s">
        <v>679</v>
      </c>
      <c r="F12" s="154" t="s">
        <v>726</v>
      </c>
      <c r="G12" s="156" t="s">
        <v>730</v>
      </c>
      <c r="H12" s="156" t="s">
        <v>1186</v>
      </c>
      <c r="I12" s="101"/>
      <c r="J12" s="369"/>
      <c r="K12" s="179"/>
      <c r="L12" s="179"/>
    </row>
    <row r="13" spans="1:12" ht="31.5" x14ac:dyDescent="0.25">
      <c r="A13" s="179"/>
      <c r="B13" s="169" t="s">
        <v>758</v>
      </c>
      <c r="C13" s="138">
        <v>1</v>
      </c>
      <c r="D13" s="147" t="s">
        <v>243</v>
      </c>
      <c r="E13" s="149"/>
      <c r="F13" s="139">
        <v>350</v>
      </c>
      <c r="G13" s="139">
        <v>350</v>
      </c>
      <c r="H13" s="139">
        <v>350</v>
      </c>
      <c r="I13" s="101"/>
      <c r="J13" s="15">
        <f>MEDIAN(F13:I13)</f>
        <v>350</v>
      </c>
      <c r="K13" s="179"/>
      <c r="L13" s="179"/>
    </row>
    <row r="14" spans="1:12" x14ac:dyDescent="0.25">
      <c r="A14" s="179"/>
      <c r="B14" s="170"/>
      <c r="F14" s="140"/>
      <c r="G14" s="141"/>
      <c r="H14" s="140"/>
      <c r="I14" s="140"/>
      <c r="J14" s="82"/>
      <c r="K14" s="179"/>
      <c r="L14" s="179"/>
    </row>
    <row r="15" spans="1:12" ht="15.75" x14ac:dyDescent="0.25">
      <c r="A15" s="179"/>
      <c r="B15" s="166" t="s">
        <v>688</v>
      </c>
      <c r="C15" s="148"/>
      <c r="D15" s="370" t="s">
        <v>684</v>
      </c>
      <c r="E15" s="142"/>
      <c r="F15" s="371" t="s">
        <v>675</v>
      </c>
      <c r="G15" s="371"/>
      <c r="H15" s="371"/>
      <c r="I15" s="371"/>
      <c r="J15" s="367" t="s">
        <v>685</v>
      </c>
      <c r="K15" s="179"/>
      <c r="L15" s="179"/>
    </row>
    <row r="16" spans="1:12" ht="15.75" x14ac:dyDescent="0.25">
      <c r="A16" s="179"/>
      <c r="B16" s="167"/>
      <c r="C16" s="143"/>
      <c r="D16" s="370"/>
      <c r="E16" s="142" t="s">
        <v>676</v>
      </c>
      <c r="F16" s="330" t="s">
        <v>1187</v>
      </c>
      <c r="G16" s="322" t="s">
        <v>752</v>
      </c>
      <c r="H16" s="152" t="s">
        <v>749</v>
      </c>
      <c r="I16" s="152"/>
      <c r="J16" s="368"/>
      <c r="K16" s="179"/>
      <c r="L16" s="179"/>
    </row>
    <row r="17" spans="1:12" ht="15.75" x14ac:dyDescent="0.25">
      <c r="A17" s="179"/>
      <c r="B17" s="167"/>
      <c r="C17" s="143" t="s">
        <v>683</v>
      </c>
      <c r="D17" s="370"/>
      <c r="E17" s="142" t="s">
        <v>677</v>
      </c>
      <c r="F17" s="330" t="s">
        <v>1188</v>
      </c>
      <c r="G17" s="322" t="s">
        <v>754</v>
      </c>
      <c r="H17" s="152" t="s">
        <v>750</v>
      </c>
      <c r="I17" s="152"/>
      <c r="J17" s="368"/>
      <c r="K17" s="179"/>
      <c r="L17" s="179"/>
    </row>
    <row r="18" spans="1:12" ht="15.75" x14ac:dyDescent="0.25">
      <c r="A18" s="179"/>
      <c r="B18" s="167"/>
      <c r="C18" s="143"/>
      <c r="D18" s="370"/>
      <c r="E18" s="142" t="s">
        <v>678</v>
      </c>
      <c r="F18" s="330" t="s">
        <v>1189</v>
      </c>
      <c r="G18" s="322" t="s">
        <v>755</v>
      </c>
      <c r="H18" s="152" t="s">
        <v>756</v>
      </c>
      <c r="I18" s="152"/>
      <c r="J18" s="368"/>
      <c r="K18" s="179"/>
      <c r="L18" s="179"/>
    </row>
    <row r="19" spans="1:12" ht="15.75" x14ac:dyDescent="0.25">
      <c r="A19" s="179"/>
      <c r="B19" s="168"/>
      <c r="C19" s="153"/>
      <c r="D19" s="370"/>
      <c r="E19" s="142" t="s">
        <v>679</v>
      </c>
      <c r="F19" s="154" t="s">
        <v>1234</v>
      </c>
      <c r="G19" s="154" t="s">
        <v>753</v>
      </c>
      <c r="H19" s="154" t="s">
        <v>751</v>
      </c>
      <c r="I19" s="154"/>
      <c r="J19" s="369"/>
      <c r="K19" s="179"/>
      <c r="L19" s="179"/>
    </row>
    <row r="20" spans="1:12" ht="47.25" x14ac:dyDescent="0.25">
      <c r="A20" s="179"/>
      <c r="B20" s="169" t="s">
        <v>929</v>
      </c>
      <c r="C20" s="138">
        <v>12</v>
      </c>
      <c r="D20" s="147" t="s">
        <v>372</v>
      </c>
      <c r="E20" s="142"/>
      <c r="F20" s="194"/>
      <c r="G20" s="139">
        <v>12</v>
      </c>
      <c r="H20" s="101"/>
      <c r="I20" s="101"/>
      <c r="J20" s="363">
        <f>MEDIAN(F25:I25)</f>
        <v>33.75</v>
      </c>
      <c r="K20" s="179"/>
      <c r="L20" s="179"/>
    </row>
    <row r="21" spans="1:12" ht="15.75" x14ac:dyDescent="0.25">
      <c r="A21" s="179"/>
      <c r="B21" s="169" t="s">
        <v>720</v>
      </c>
      <c r="C21" s="138">
        <v>1</v>
      </c>
      <c r="D21" s="147"/>
      <c r="E21" s="149"/>
      <c r="F21" s="212"/>
      <c r="G21" s="139">
        <v>50</v>
      </c>
      <c r="H21" s="212"/>
      <c r="I21" s="212"/>
      <c r="J21" s="364"/>
      <c r="K21" s="179"/>
      <c r="L21" s="179"/>
    </row>
    <row r="22" spans="1:12" ht="15.75" x14ac:dyDescent="0.25">
      <c r="A22" s="179"/>
      <c r="B22" s="169" t="s">
        <v>719</v>
      </c>
      <c r="C22" s="138">
        <v>4</v>
      </c>
      <c r="D22" s="147" t="s">
        <v>243</v>
      </c>
      <c r="E22" s="149"/>
      <c r="F22" s="212"/>
      <c r="G22" s="139">
        <v>10</v>
      </c>
      <c r="H22" s="212"/>
      <c r="I22" s="212"/>
      <c r="J22" s="364"/>
      <c r="K22" s="179"/>
      <c r="L22" s="179"/>
    </row>
    <row r="23" spans="1:12" s="179" customFormat="1" ht="15.75" x14ac:dyDescent="0.25">
      <c r="B23" s="169" t="s">
        <v>927</v>
      </c>
      <c r="C23" s="138">
        <v>6</v>
      </c>
      <c r="D23" s="147" t="s">
        <v>928</v>
      </c>
      <c r="E23" s="188"/>
      <c r="F23" s="212"/>
      <c r="G23" s="139">
        <v>8</v>
      </c>
      <c r="H23" s="212"/>
      <c r="I23" s="212"/>
      <c r="J23" s="364"/>
    </row>
    <row r="24" spans="1:12" ht="15.75" x14ac:dyDescent="0.25">
      <c r="A24" s="179"/>
      <c r="B24" s="169" t="s">
        <v>721</v>
      </c>
      <c r="C24" s="138">
        <v>2</v>
      </c>
      <c r="D24" s="147" t="s">
        <v>722</v>
      </c>
      <c r="E24" s="149"/>
      <c r="F24" s="212"/>
      <c r="G24" s="139">
        <v>50</v>
      </c>
      <c r="H24" s="212"/>
      <c r="I24" s="212"/>
      <c r="J24" s="364"/>
      <c r="K24" s="179"/>
      <c r="L24" s="179"/>
    </row>
    <row r="25" spans="1:12" ht="15.75" x14ac:dyDescent="0.25">
      <c r="A25" s="179"/>
      <c r="B25" s="340" t="s">
        <v>748</v>
      </c>
      <c r="C25" s="341"/>
      <c r="D25" s="329"/>
      <c r="E25" s="329"/>
      <c r="F25" s="212">
        <f>405/12</f>
        <v>33.75</v>
      </c>
      <c r="G25" s="165">
        <f>SUMPRODUCT(C20:C24,G20:G24)/12</f>
        <v>31.833333333333332</v>
      </c>
      <c r="H25" s="212">
        <f>(364+88)/12</f>
        <v>37.666666666666664</v>
      </c>
      <c r="I25" s="212"/>
      <c r="J25" s="365"/>
      <c r="K25" s="179"/>
      <c r="L25" s="179"/>
    </row>
    <row r="26" spans="1:12" x14ac:dyDescent="0.25">
      <c r="A26" s="179"/>
      <c r="B26" s="170"/>
      <c r="F26" s="140"/>
      <c r="G26" s="141"/>
      <c r="H26" s="140"/>
      <c r="I26" s="140"/>
      <c r="J26" s="82"/>
      <c r="K26" s="179"/>
      <c r="L26" s="179"/>
    </row>
    <row r="27" spans="1:12" ht="15.75" x14ac:dyDescent="0.25">
      <c r="A27" s="331"/>
      <c r="B27" s="166" t="s">
        <v>689</v>
      </c>
      <c r="C27" s="332"/>
      <c r="D27" s="370" t="s">
        <v>684</v>
      </c>
      <c r="E27" s="142"/>
      <c r="F27" s="371" t="s">
        <v>675</v>
      </c>
      <c r="G27" s="371"/>
      <c r="H27" s="371"/>
      <c r="I27" s="371"/>
      <c r="J27" s="367" t="s">
        <v>685</v>
      </c>
      <c r="K27" s="179"/>
      <c r="L27" s="179"/>
    </row>
    <row r="28" spans="1:12" ht="15.75" x14ac:dyDescent="0.25">
      <c r="A28" s="331"/>
      <c r="B28" s="167"/>
      <c r="C28" s="333"/>
      <c r="D28" s="370"/>
      <c r="E28" s="142" t="s">
        <v>676</v>
      </c>
      <c r="F28" s="158" t="s">
        <v>738</v>
      </c>
      <c r="G28" s="175" t="s">
        <v>692</v>
      </c>
      <c r="H28" s="175" t="s">
        <v>696</v>
      </c>
      <c r="I28" s="158"/>
      <c r="J28" s="368"/>
    </row>
    <row r="29" spans="1:12" ht="15.75" x14ac:dyDescent="0.25">
      <c r="A29" s="331"/>
      <c r="B29" s="167"/>
      <c r="C29" s="333" t="s">
        <v>683</v>
      </c>
      <c r="D29" s="370"/>
      <c r="E29" s="142" t="s">
        <v>677</v>
      </c>
      <c r="F29" s="158" t="s">
        <v>735</v>
      </c>
      <c r="G29" s="175" t="s">
        <v>693</v>
      </c>
      <c r="H29" s="175" t="s">
        <v>697</v>
      </c>
      <c r="I29" s="158"/>
      <c r="J29" s="368"/>
    </row>
    <row r="30" spans="1:12" ht="15.75" x14ac:dyDescent="0.25">
      <c r="A30" s="331"/>
      <c r="B30" s="336"/>
      <c r="C30" s="333"/>
      <c r="D30" s="370"/>
      <c r="E30" s="142" t="s">
        <v>678</v>
      </c>
      <c r="F30" s="158" t="s">
        <v>736</v>
      </c>
      <c r="G30" s="175" t="s">
        <v>694</v>
      </c>
      <c r="H30" s="175" t="s">
        <v>757</v>
      </c>
      <c r="I30" s="158"/>
      <c r="J30" s="368"/>
    </row>
    <row r="31" spans="1:12" ht="15.75" x14ac:dyDescent="0.25">
      <c r="A31" s="331"/>
      <c r="B31" s="167"/>
      <c r="C31" s="334"/>
      <c r="D31" s="370"/>
      <c r="E31" s="142" t="s">
        <v>679</v>
      </c>
      <c r="F31" s="154" t="s">
        <v>737</v>
      </c>
      <c r="G31" s="154" t="s">
        <v>695</v>
      </c>
      <c r="H31" s="154" t="s">
        <v>792</v>
      </c>
      <c r="I31" s="154"/>
      <c r="J31" s="369"/>
    </row>
    <row r="32" spans="1:12" ht="15.75" x14ac:dyDescent="0.25">
      <c r="A32" s="331"/>
      <c r="B32" s="169" t="s">
        <v>734</v>
      </c>
      <c r="C32" s="335">
        <v>3</v>
      </c>
      <c r="D32" s="147" t="s">
        <v>4</v>
      </c>
      <c r="E32" s="142"/>
      <c r="F32" s="145">
        <f>177.85/1.43*1.3</f>
        <v>161.68181818181819</v>
      </c>
      <c r="G32" s="139">
        <f>133.82+80/1.43</f>
        <v>189.76405594405594</v>
      </c>
      <c r="H32" s="144">
        <f>1053.89/5.72</f>
        <v>184.24650349650352</v>
      </c>
      <c r="I32" s="144"/>
      <c r="J32" s="15">
        <f>MEDIAN(F32:I32)</f>
        <v>184.24650349650352</v>
      </c>
    </row>
    <row r="33" spans="1:12" x14ac:dyDescent="0.25">
      <c r="B33" s="170"/>
      <c r="F33" s="159" t="s">
        <v>1038</v>
      </c>
      <c r="G33" s="159"/>
      <c r="H33" s="159"/>
      <c r="I33" s="159"/>
      <c r="J33" s="82"/>
    </row>
    <row r="34" spans="1:12" ht="15.75" x14ac:dyDescent="0.25">
      <c r="B34" s="166" t="s">
        <v>690</v>
      </c>
      <c r="C34" s="367" t="s">
        <v>683</v>
      </c>
      <c r="D34" s="370" t="s">
        <v>684</v>
      </c>
      <c r="E34" s="142"/>
      <c r="F34" s="371" t="s">
        <v>675</v>
      </c>
      <c r="G34" s="371"/>
      <c r="H34" s="371"/>
      <c r="I34" s="371"/>
      <c r="J34" s="367" t="s">
        <v>685</v>
      </c>
    </row>
    <row r="35" spans="1:12" ht="15.75" x14ac:dyDescent="0.25">
      <c r="B35" s="167" t="s">
        <v>691</v>
      </c>
      <c r="C35" s="368"/>
      <c r="D35" s="370"/>
      <c r="E35" s="142" t="s">
        <v>676</v>
      </c>
      <c r="F35" s="151" t="s">
        <v>698</v>
      </c>
      <c r="G35" s="152" t="s">
        <v>699</v>
      </c>
      <c r="H35" s="151" t="s">
        <v>700</v>
      </c>
      <c r="I35" s="151"/>
      <c r="J35" s="368"/>
    </row>
    <row r="36" spans="1:12" ht="15.75" x14ac:dyDescent="0.25">
      <c r="B36" s="167"/>
      <c r="C36" s="368"/>
      <c r="D36" s="370"/>
      <c r="E36" s="142" t="s">
        <v>677</v>
      </c>
      <c r="F36" s="151" t="s">
        <v>701</v>
      </c>
      <c r="G36" s="152" t="s">
        <v>702</v>
      </c>
      <c r="H36" s="151" t="s">
        <v>703</v>
      </c>
      <c r="I36" s="151"/>
      <c r="J36" s="368"/>
    </row>
    <row r="37" spans="1:12" ht="15.75" x14ac:dyDescent="0.25">
      <c r="B37" s="167"/>
      <c r="C37" s="368"/>
      <c r="D37" s="370"/>
      <c r="E37" s="142" t="s">
        <v>678</v>
      </c>
      <c r="F37" s="151" t="s">
        <v>704</v>
      </c>
      <c r="G37" s="152" t="s">
        <v>705</v>
      </c>
      <c r="H37" s="151" t="s">
        <v>706</v>
      </c>
      <c r="I37" s="151"/>
      <c r="J37" s="368"/>
    </row>
    <row r="38" spans="1:12" ht="15.75" x14ac:dyDescent="0.25">
      <c r="B38" s="167"/>
      <c r="C38" s="369"/>
      <c r="D38" s="370"/>
      <c r="E38" s="142" t="s">
        <v>679</v>
      </c>
      <c r="F38" s="154" t="s">
        <v>707</v>
      </c>
      <c r="G38" s="155" t="s">
        <v>708</v>
      </c>
      <c r="H38" s="154" t="s">
        <v>709</v>
      </c>
      <c r="I38" s="154"/>
      <c r="J38" s="369"/>
      <c r="K38" s="179"/>
    </row>
    <row r="39" spans="1:12" ht="15.75" x14ac:dyDescent="0.25">
      <c r="B39" s="169" t="s">
        <v>1217</v>
      </c>
      <c r="C39" s="138">
        <v>1</v>
      </c>
      <c r="D39" s="147" t="s">
        <v>4</v>
      </c>
      <c r="E39" s="142"/>
      <c r="F39" s="144">
        <v>370</v>
      </c>
      <c r="G39" s="145">
        <v>336.375</v>
      </c>
      <c r="H39" s="139">
        <v>375</v>
      </c>
      <c r="I39" s="139"/>
      <c r="J39" s="15">
        <f>MEDIAN(F39:I39)</f>
        <v>370</v>
      </c>
      <c r="K39" s="179"/>
    </row>
    <row r="40" spans="1:12" ht="15.75" x14ac:dyDescent="0.25">
      <c r="B40" s="169" t="s">
        <v>226</v>
      </c>
      <c r="C40" s="138">
        <v>1</v>
      </c>
      <c r="D40" s="147" t="s">
        <v>11</v>
      </c>
      <c r="E40" s="142"/>
      <c r="F40" s="144">
        <v>90</v>
      </c>
      <c r="G40" s="145">
        <v>74.75</v>
      </c>
      <c r="H40" s="139">
        <v>92.5</v>
      </c>
      <c r="I40" s="139"/>
      <c r="J40" s="15">
        <f>MEDIAN(F40:I40)</f>
        <v>90</v>
      </c>
      <c r="K40" s="179"/>
    </row>
    <row r="41" spans="1:12" x14ac:dyDescent="0.25">
      <c r="B41" s="170"/>
      <c r="K41" s="179"/>
    </row>
    <row r="42" spans="1:12" ht="15.75" customHeight="1" x14ac:dyDescent="0.25">
      <c r="A42" s="177"/>
      <c r="B42" s="166" t="s">
        <v>1235</v>
      </c>
      <c r="C42" s="367" t="s">
        <v>683</v>
      </c>
      <c r="D42" s="370" t="s">
        <v>684</v>
      </c>
      <c r="E42" s="142"/>
      <c r="F42" s="371" t="s">
        <v>675</v>
      </c>
      <c r="G42" s="371"/>
      <c r="H42" s="371"/>
      <c r="I42" s="371"/>
      <c r="J42" s="367" t="s">
        <v>685</v>
      </c>
      <c r="K42" s="179"/>
      <c r="L42" s="179"/>
    </row>
    <row r="43" spans="1:12" ht="15.75" x14ac:dyDescent="0.25">
      <c r="A43" s="177"/>
      <c r="B43" s="167" t="s">
        <v>739</v>
      </c>
      <c r="C43" s="368"/>
      <c r="D43" s="370"/>
      <c r="E43" s="142" t="s">
        <v>676</v>
      </c>
      <c r="F43" s="323" t="s">
        <v>711</v>
      </c>
      <c r="G43" s="323" t="s">
        <v>712</v>
      </c>
      <c r="H43" s="330" t="s">
        <v>1220</v>
      </c>
      <c r="I43" s="323" t="s">
        <v>1236</v>
      </c>
      <c r="J43" s="368"/>
      <c r="K43" s="179"/>
      <c r="L43" s="179"/>
    </row>
    <row r="44" spans="1:12" ht="15.75" x14ac:dyDescent="0.25">
      <c r="A44" s="177"/>
      <c r="B44" s="167"/>
      <c r="C44" s="368"/>
      <c r="D44" s="370"/>
      <c r="E44" s="142" t="s">
        <v>677</v>
      </c>
      <c r="F44" s="152" t="s">
        <v>713</v>
      </c>
      <c r="G44" s="323" t="s">
        <v>714</v>
      </c>
      <c r="H44" s="330" t="s">
        <v>1221</v>
      </c>
      <c r="I44" s="330" t="s">
        <v>1237</v>
      </c>
      <c r="J44" s="368"/>
      <c r="K44" s="179"/>
      <c r="L44" s="179"/>
    </row>
    <row r="45" spans="1:12" ht="15.75" x14ac:dyDescent="0.25">
      <c r="A45" s="177"/>
      <c r="B45" s="167"/>
      <c r="C45" s="368"/>
      <c r="D45" s="370"/>
      <c r="E45" s="142" t="s">
        <v>678</v>
      </c>
      <c r="F45" s="152" t="s">
        <v>715</v>
      </c>
      <c r="G45" s="323" t="s">
        <v>716</v>
      </c>
      <c r="H45" s="330" t="s">
        <v>1222</v>
      </c>
      <c r="I45" s="323"/>
      <c r="J45" s="368"/>
      <c r="K45" s="179"/>
      <c r="L45" s="179"/>
    </row>
    <row r="46" spans="1:12" ht="15.75" x14ac:dyDescent="0.25">
      <c r="A46" s="177"/>
      <c r="B46" s="167"/>
      <c r="C46" s="369"/>
      <c r="D46" s="370"/>
      <c r="E46" s="142" t="s">
        <v>679</v>
      </c>
      <c r="F46" s="155" t="s">
        <v>717</v>
      </c>
      <c r="G46" s="154" t="s">
        <v>718</v>
      </c>
      <c r="H46" s="156" t="s">
        <v>1223</v>
      </c>
      <c r="I46" s="156" t="s">
        <v>1238</v>
      </c>
      <c r="J46" s="369"/>
      <c r="K46" s="179"/>
      <c r="L46" s="179"/>
    </row>
    <row r="47" spans="1:12" ht="31.5" x14ac:dyDescent="0.25">
      <c r="A47" s="177"/>
      <c r="B47" s="169" t="s">
        <v>710</v>
      </c>
      <c r="C47" s="138">
        <v>3.66</v>
      </c>
      <c r="D47" s="147" t="s">
        <v>4</v>
      </c>
      <c r="E47" s="142"/>
      <c r="F47" s="145">
        <f>655.8/3.66*0.7</f>
        <v>125.4262295081967</v>
      </c>
      <c r="G47" s="139">
        <f>(1009.78-350)/3.66</f>
        <v>180.26775956284152</v>
      </c>
      <c r="H47" s="139"/>
      <c r="I47" s="139">
        <f>547.96/4</f>
        <v>136.99</v>
      </c>
      <c r="J47" s="15">
        <f>MEDIAN(F47:I47)</f>
        <v>136.99</v>
      </c>
      <c r="K47" s="179"/>
      <c r="L47" s="179"/>
    </row>
    <row r="48" spans="1:12" ht="15.75" x14ac:dyDescent="0.25">
      <c r="A48" s="177"/>
      <c r="B48" s="169" t="s">
        <v>772</v>
      </c>
      <c r="C48" s="138">
        <v>3.66</v>
      </c>
      <c r="D48" s="147" t="s">
        <v>4</v>
      </c>
      <c r="E48" s="171"/>
      <c r="F48" s="145">
        <f>655.8/3.66*0.3</f>
        <v>53.754098360655725</v>
      </c>
      <c r="G48" s="139">
        <f>350/3.66</f>
        <v>95.62841530054645</v>
      </c>
      <c r="H48" s="139">
        <f>200/3.66</f>
        <v>54.644808743169399</v>
      </c>
      <c r="I48" s="139"/>
      <c r="J48" s="15">
        <f>MEDIAN(F48:I48)</f>
        <v>54.644808743169399</v>
      </c>
      <c r="K48" s="179"/>
      <c r="L48" s="179"/>
    </row>
    <row r="49" spans="1:13" x14ac:dyDescent="0.25">
      <c r="B49" s="170"/>
      <c r="G49" s="192"/>
      <c r="H49" s="82"/>
      <c r="I49" s="176"/>
      <c r="K49" s="179"/>
      <c r="L49" s="179"/>
    </row>
    <row r="50" spans="1:13" ht="15.75" customHeight="1" x14ac:dyDescent="0.25">
      <c r="A50" s="177"/>
      <c r="B50" s="166" t="s">
        <v>741</v>
      </c>
      <c r="C50" s="367" t="s">
        <v>683</v>
      </c>
      <c r="D50" s="370" t="s">
        <v>684</v>
      </c>
      <c r="E50" s="149"/>
      <c r="F50" s="371" t="s">
        <v>675</v>
      </c>
      <c r="G50" s="371"/>
      <c r="H50" s="371"/>
      <c r="I50" s="371"/>
      <c r="J50" s="370" t="s">
        <v>685</v>
      </c>
      <c r="K50" s="179"/>
      <c r="L50" s="179"/>
      <c r="M50" s="197"/>
    </row>
    <row r="51" spans="1:13" ht="31.5" x14ac:dyDescent="0.25">
      <c r="A51" s="177"/>
      <c r="B51" s="167" t="s">
        <v>742</v>
      </c>
      <c r="C51" s="368"/>
      <c r="D51" s="370"/>
      <c r="E51" s="149" t="s">
        <v>676</v>
      </c>
      <c r="F51" s="149" t="s">
        <v>764</v>
      </c>
      <c r="G51" s="162" t="s">
        <v>766</v>
      </c>
      <c r="H51" s="171" t="s">
        <v>774</v>
      </c>
      <c r="I51" s="189"/>
      <c r="J51" s="370"/>
      <c r="K51" s="179"/>
      <c r="L51" s="179"/>
      <c r="M51" s="197"/>
    </row>
    <row r="52" spans="1:13" ht="31.5" x14ac:dyDescent="0.25">
      <c r="A52" s="177"/>
      <c r="B52" s="167" t="s">
        <v>1062</v>
      </c>
      <c r="C52" s="368"/>
      <c r="D52" s="370"/>
      <c r="E52" s="149" t="s">
        <v>677</v>
      </c>
      <c r="F52" s="151" t="s">
        <v>765</v>
      </c>
      <c r="G52" s="171" t="s">
        <v>775</v>
      </c>
      <c r="H52" s="162" t="s">
        <v>769</v>
      </c>
      <c r="I52" s="189"/>
      <c r="J52" s="370"/>
      <c r="K52" s="197"/>
      <c r="L52" s="179"/>
      <c r="M52" s="53"/>
    </row>
    <row r="53" spans="1:13" ht="15.75" x14ac:dyDescent="0.25">
      <c r="A53" s="177"/>
      <c r="B53" s="167" t="s">
        <v>743</v>
      </c>
      <c r="C53" s="368"/>
      <c r="D53" s="370"/>
      <c r="E53" s="149" t="s">
        <v>678</v>
      </c>
      <c r="F53" s="151" t="s">
        <v>777</v>
      </c>
      <c r="G53" s="152" t="s">
        <v>776</v>
      </c>
      <c r="H53" s="152" t="s">
        <v>773</v>
      </c>
      <c r="I53" s="189"/>
      <c r="J53" s="370"/>
      <c r="K53" s="198"/>
      <c r="L53" s="179"/>
      <c r="M53" s="53"/>
    </row>
    <row r="54" spans="1:13" ht="15.75" x14ac:dyDescent="0.25">
      <c r="A54" s="177"/>
      <c r="B54" s="168"/>
      <c r="C54" s="369"/>
      <c r="D54" s="370"/>
      <c r="E54" s="149" t="s">
        <v>679</v>
      </c>
      <c r="F54" s="154"/>
      <c r="G54" s="154"/>
      <c r="H54" s="172" t="s">
        <v>770</v>
      </c>
      <c r="I54" s="154"/>
      <c r="J54" s="370"/>
      <c r="K54" s="199"/>
      <c r="L54" s="179"/>
      <c r="M54" s="53"/>
    </row>
    <row r="55" spans="1:13" ht="15.75" x14ac:dyDescent="0.25">
      <c r="A55" s="177"/>
      <c r="B55" s="169" t="s">
        <v>1228</v>
      </c>
      <c r="C55" s="138">
        <v>1</v>
      </c>
      <c r="D55" s="147" t="s">
        <v>4</v>
      </c>
      <c r="E55" s="149"/>
      <c r="F55" s="139">
        <f>175*1.47878478144415/1.28</f>
        <v>202.17760683806736</v>
      </c>
      <c r="G55" s="145">
        <f>326.17/(1.05*1.2)/1.28</f>
        <v>202.23834325396828</v>
      </c>
      <c r="H55" s="145">
        <f>249*1.05331676473813/1.28</f>
        <v>204.90302689046436</v>
      </c>
      <c r="I55" s="144"/>
      <c r="J55" s="15">
        <f>MEDIAN(F55:I55)</f>
        <v>202.23834325396828</v>
      </c>
      <c r="K55" s="199"/>
      <c r="L55" s="179"/>
      <c r="M55" s="53"/>
    </row>
    <row r="56" spans="1:13" ht="31.5" x14ac:dyDescent="0.25">
      <c r="A56" s="177"/>
      <c r="B56" s="169" t="s">
        <v>763</v>
      </c>
      <c r="C56" s="138">
        <v>1</v>
      </c>
      <c r="D56" s="147" t="s">
        <v>4</v>
      </c>
      <c r="E56" s="149"/>
      <c r="F56" s="139">
        <f>295*1.47878478144415/1.28</f>
        <v>340.81368009845642</v>
      </c>
      <c r="G56" s="145">
        <f>423.65/1.28</f>
        <v>330.9765625</v>
      </c>
      <c r="H56" s="145">
        <f>480*1.05331676473813/1.28</f>
        <v>394.9937867767988</v>
      </c>
      <c r="I56" s="144"/>
      <c r="J56" s="15">
        <f>MEDIAN(F56:I56)</f>
        <v>340.81368009845642</v>
      </c>
      <c r="K56" s="199"/>
      <c r="L56" s="179"/>
      <c r="M56" s="53"/>
    </row>
    <row r="57" spans="1:13" ht="15.75" x14ac:dyDescent="0.25">
      <c r="A57" s="177"/>
      <c r="B57" s="169" t="s">
        <v>896</v>
      </c>
      <c r="C57" s="138">
        <v>1</v>
      </c>
      <c r="D57" s="147" t="s">
        <v>243</v>
      </c>
      <c r="E57" s="163"/>
      <c r="F57" s="144">
        <f>840*1.47878478144415/1.28</f>
        <v>970.45251282272329</v>
      </c>
      <c r="G57" s="145">
        <f>1195.13/1.28</f>
        <v>933.69531250000011</v>
      </c>
      <c r="H57" s="139">
        <f>1200*1.05331676473813/1.28</f>
        <v>987.48446694199697</v>
      </c>
      <c r="I57" s="144"/>
      <c r="J57" s="15">
        <f>MEDIAN(F57:I57)</f>
        <v>970.45251282272329</v>
      </c>
      <c r="K57" s="199"/>
      <c r="L57" s="179"/>
      <c r="M57" s="53"/>
    </row>
    <row r="58" spans="1:13" ht="15.75" x14ac:dyDescent="0.25">
      <c r="A58" s="177"/>
      <c r="B58" s="169" t="s">
        <v>771</v>
      </c>
      <c r="C58" s="138">
        <v>1</v>
      </c>
      <c r="D58" s="147" t="s">
        <v>243</v>
      </c>
      <c r="E58" s="163"/>
      <c r="F58" s="144">
        <f>0.6*2.1*30*1.47878478144415/1.28</f>
        <v>43.67036307702255</v>
      </c>
      <c r="G58" s="145">
        <f>45.73/1.28</f>
        <v>35.7265625</v>
      </c>
      <c r="H58" s="139">
        <f>48.9*1.05331676473813/1.28</f>
        <v>40.239992027886373</v>
      </c>
      <c r="I58" s="194"/>
      <c r="J58" s="15">
        <f>MEDIAN(F58:I58)</f>
        <v>40.239992027886373</v>
      </c>
      <c r="K58" s="53"/>
      <c r="L58" s="53"/>
      <c r="M58" s="53"/>
    </row>
    <row r="59" spans="1:13" ht="15.75" x14ac:dyDescent="0.25">
      <c r="B59" s="170"/>
      <c r="H59" s="179"/>
      <c r="I59" s="179"/>
      <c r="J59" s="179"/>
      <c r="K59" s="199"/>
      <c r="L59" s="179"/>
      <c r="M59" s="53"/>
    </row>
    <row r="60" spans="1:13" ht="15.75" x14ac:dyDescent="0.25">
      <c r="B60" s="166" t="s">
        <v>744</v>
      </c>
      <c r="C60" s="367" t="s">
        <v>683</v>
      </c>
      <c r="D60" s="370" t="s">
        <v>684</v>
      </c>
      <c r="E60" s="149"/>
      <c r="F60" s="371" t="s">
        <v>675</v>
      </c>
      <c r="G60" s="371"/>
      <c r="H60" s="371"/>
      <c r="I60" s="371"/>
      <c r="J60" s="370" t="s">
        <v>685</v>
      </c>
      <c r="K60" s="53"/>
      <c r="L60" s="53"/>
      <c r="M60" s="53"/>
    </row>
    <row r="61" spans="1:13" ht="15.75" x14ac:dyDescent="0.25">
      <c r="B61" s="338" t="s">
        <v>1239</v>
      </c>
      <c r="C61" s="368"/>
      <c r="D61" s="370"/>
      <c r="E61" s="149" t="s">
        <v>676</v>
      </c>
      <c r="F61" s="330" t="s">
        <v>1190</v>
      </c>
      <c r="G61" s="195" t="s">
        <v>936</v>
      </c>
      <c r="H61" s="330" t="s">
        <v>1224</v>
      </c>
      <c r="I61" s="330"/>
      <c r="J61" s="370"/>
      <c r="K61" s="199"/>
      <c r="L61" s="179"/>
    </row>
    <row r="62" spans="1:13" ht="15.75" x14ac:dyDescent="0.25">
      <c r="B62" s="167"/>
      <c r="C62" s="368"/>
      <c r="D62" s="370"/>
      <c r="E62" s="149" t="s">
        <v>677</v>
      </c>
      <c r="F62" s="330" t="s">
        <v>1191</v>
      </c>
      <c r="G62" s="196" t="s">
        <v>937</v>
      </c>
      <c r="H62" s="330" t="s">
        <v>1225</v>
      </c>
      <c r="I62" s="330"/>
      <c r="J62" s="370"/>
      <c r="K62" s="53"/>
      <c r="L62" s="53"/>
    </row>
    <row r="63" spans="1:13" ht="15.75" x14ac:dyDescent="0.25">
      <c r="B63" s="167"/>
      <c r="C63" s="368"/>
      <c r="D63" s="370"/>
      <c r="E63" s="149" t="s">
        <v>678</v>
      </c>
      <c r="F63" s="330" t="s">
        <v>1071</v>
      </c>
      <c r="G63" s="196" t="s">
        <v>938</v>
      </c>
      <c r="H63" s="330" t="s">
        <v>1226</v>
      </c>
      <c r="I63" s="330"/>
      <c r="J63" s="370"/>
      <c r="K63" s="199"/>
      <c r="L63" s="179"/>
    </row>
    <row r="64" spans="1:13" ht="15.75" x14ac:dyDescent="0.25">
      <c r="B64" s="168"/>
      <c r="C64" s="369"/>
      <c r="D64" s="370"/>
      <c r="E64" s="149" t="s">
        <v>679</v>
      </c>
      <c r="F64" s="154" t="s">
        <v>1192</v>
      </c>
      <c r="G64" s="154" t="s">
        <v>939</v>
      </c>
      <c r="H64" s="154" t="s">
        <v>1227</v>
      </c>
      <c r="I64" s="154"/>
      <c r="J64" s="370"/>
      <c r="K64" s="53"/>
      <c r="L64" s="53"/>
    </row>
    <row r="65" spans="2:13" ht="15.75" x14ac:dyDescent="0.25">
      <c r="B65" s="169" t="s">
        <v>967</v>
      </c>
      <c r="C65" s="138">
        <f>1.8*1.8</f>
        <v>3.24</v>
      </c>
      <c r="D65" s="147" t="s">
        <v>4</v>
      </c>
      <c r="E65" s="149"/>
      <c r="F65" s="144">
        <f>1175/(1.8*1.8)</f>
        <v>362.65432098765427</v>
      </c>
      <c r="G65" s="144">
        <f>844/(1.8*1.8)</f>
        <v>260.49382716049382</v>
      </c>
      <c r="H65" s="139">
        <f>1155.61/(1.8*1.8)</f>
        <v>356.66975308641969</v>
      </c>
      <c r="I65" s="144"/>
      <c r="J65" s="15">
        <f>MEDIAN(F65:I65)</f>
        <v>356.66975308641969</v>
      </c>
      <c r="K65" s="199"/>
      <c r="L65" s="179"/>
    </row>
    <row r="66" spans="2:13" ht="15.75" x14ac:dyDescent="0.25">
      <c r="B66" s="169" t="s">
        <v>935</v>
      </c>
      <c r="C66" s="138">
        <f t="shared" ref="C66" si="0">1.8*1.8</f>
        <v>3.24</v>
      </c>
      <c r="D66" s="147" t="s">
        <v>4</v>
      </c>
      <c r="E66" s="157"/>
      <c r="F66" s="139">
        <f>1380/(1.8*1.8)</f>
        <v>425.92592592592592</v>
      </c>
      <c r="G66" s="139">
        <f>1138/(1.8*1.8)</f>
        <v>351.23456790123453</v>
      </c>
      <c r="H66" s="139">
        <f>1594.95/(1.8*1.8)</f>
        <v>492.26851851851848</v>
      </c>
      <c r="I66" s="144"/>
      <c r="J66" s="15">
        <f t="shared" ref="J66" si="1">MEDIAN(F66:I66)</f>
        <v>425.92592592592592</v>
      </c>
      <c r="K66" s="53"/>
      <c r="L66" s="53"/>
    </row>
    <row r="67" spans="2:13" x14ac:dyDescent="0.25">
      <c r="B67" s="210"/>
      <c r="F67" s="161"/>
      <c r="K67" s="53"/>
      <c r="L67" s="179"/>
    </row>
    <row r="68" spans="2:13" ht="15.75" x14ac:dyDescent="0.25">
      <c r="B68" s="166" t="s">
        <v>1240</v>
      </c>
      <c r="C68" s="367" t="s">
        <v>683</v>
      </c>
      <c r="D68" s="370" t="s">
        <v>684</v>
      </c>
      <c r="E68" s="163"/>
      <c r="F68" s="371" t="s">
        <v>675</v>
      </c>
      <c r="G68" s="371"/>
      <c r="H68" s="371"/>
      <c r="I68" s="371"/>
      <c r="J68" s="367" t="s">
        <v>685</v>
      </c>
      <c r="K68" s="53"/>
    </row>
    <row r="69" spans="2:13" ht="15.75" x14ac:dyDescent="0.25">
      <c r="B69" s="167"/>
      <c r="C69" s="368"/>
      <c r="D69" s="370"/>
      <c r="E69" s="163" t="s">
        <v>676</v>
      </c>
      <c r="F69" s="162" t="s">
        <v>943</v>
      </c>
      <c r="G69" s="329" t="s">
        <v>1193</v>
      </c>
      <c r="H69" s="203" t="s">
        <v>940</v>
      </c>
      <c r="I69" s="202"/>
      <c r="J69" s="368"/>
      <c r="K69" s="53"/>
    </row>
    <row r="70" spans="2:13" ht="15.75" x14ac:dyDescent="0.25">
      <c r="B70" s="167"/>
      <c r="C70" s="368"/>
      <c r="D70" s="370"/>
      <c r="E70" s="163" t="s">
        <v>677</v>
      </c>
      <c r="F70" s="152" t="s">
        <v>945</v>
      </c>
      <c r="G70" s="330" t="s">
        <v>1194</v>
      </c>
      <c r="H70" s="203" t="s">
        <v>941</v>
      </c>
      <c r="I70" s="203"/>
      <c r="J70" s="368"/>
      <c r="K70" s="53"/>
    </row>
    <row r="71" spans="2:13" ht="15.75" x14ac:dyDescent="0.25">
      <c r="B71" s="167"/>
      <c r="C71" s="368"/>
      <c r="D71" s="370"/>
      <c r="E71" s="163" t="s">
        <v>678</v>
      </c>
      <c r="F71" s="152" t="s">
        <v>944</v>
      </c>
      <c r="G71" s="330" t="s">
        <v>1216</v>
      </c>
      <c r="H71" s="203" t="s">
        <v>1052</v>
      </c>
      <c r="I71" s="203"/>
      <c r="J71" s="368"/>
      <c r="K71" s="53"/>
    </row>
    <row r="72" spans="2:13" ht="15.75" x14ac:dyDescent="0.25">
      <c r="B72" s="168"/>
      <c r="C72" s="369"/>
      <c r="D72" s="370"/>
      <c r="E72" s="163" t="s">
        <v>679</v>
      </c>
      <c r="F72" s="154" t="s">
        <v>942</v>
      </c>
      <c r="G72" s="339" t="s">
        <v>1195</v>
      </c>
      <c r="H72" s="154" t="s">
        <v>1051</v>
      </c>
      <c r="I72" s="156"/>
      <c r="J72" s="369"/>
      <c r="K72" s="53"/>
    </row>
    <row r="73" spans="2:13" ht="15.75" x14ac:dyDescent="0.25">
      <c r="B73" s="169" t="s">
        <v>785</v>
      </c>
      <c r="C73" s="138">
        <v>10</v>
      </c>
      <c r="D73" s="147" t="s">
        <v>243</v>
      </c>
      <c r="E73" s="163"/>
      <c r="F73" s="145">
        <f>27*1.5</f>
        <v>40.5</v>
      </c>
      <c r="G73" s="139">
        <f>286.2/10</f>
        <v>28.619999999999997</v>
      </c>
      <c r="H73" s="144">
        <f>812/20</f>
        <v>40.6</v>
      </c>
      <c r="I73" s="139"/>
      <c r="J73" s="15">
        <f>MEDIAN(F73:I73)</f>
        <v>40.5</v>
      </c>
      <c r="K73" s="53"/>
    </row>
    <row r="74" spans="2:13" x14ac:dyDescent="0.25">
      <c r="B74" s="170"/>
      <c r="F74" s="211" t="s">
        <v>952</v>
      </c>
      <c r="G74" s="193"/>
      <c r="I74" s="161"/>
      <c r="K74" s="53"/>
    </row>
    <row r="75" spans="2:13" ht="15.75" x14ac:dyDescent="0.25">
      <c r="B75" s="166" t="s">
        <v>1241</v>
      </c>
      <c r="C75" s="367" t="s">
        <v>683</v>
      </c>
      <c r="D75" s="370" t="s">
        <v>684</v>
      </c>
      <c r="E75" s="149"/>
      <c r="F75" s="371" t="s">
        <v>675</v>
      </c>
      <c r="G75" s="371"/>
      <c r="H75" s="371"/>
      <c r="I75" s="371"/>
      <c r="J75" s="367" t="s">
        <v>685</v>
      </c>
      <c r="K75" s="53"/>
    </row>
    <row r="76" spans="2:13" ht="15.75" x14ac:dyDescent="0.25">
      <c r="B76" s="167"/>
      <c r="C76" s="368"/>
      <c r="D76" s="370"/>
      <c r="E76" s="149" t="s">
        <v>676</v>
      </c>
      <c r="F76" s="200" t="s">
        <v>1037</v>
      </c>
      <c r="G76" s="201" t="s">
        <v>988</v>
      </c>
      <c r="H76" s="329" t="s">
        <v>759</v>
      </c>
      <c r="I76" s="324" t="s">
        <v>1196</v>
      </c>
      <c r="J76" s="368"/>
      <c r="K76" s="53"/>
      <c r="L76" s="179"/>
      <c r="M76" s="179"/>
    </row>
    <row r="77" spans="2:13" ht="15.75" x14ac:dyDescent="0.25">
      <c r="B77" s="167"/>
      <c r="C77" s="368"/>
      <c r="D77" s="370"/>
      <c r="E77" s="149" t="s">
        <v>677</v>
      </c>
      <c r="F77" s="201"/>
      <c r="G77" s="152"/>
      <c r="H77" s="330"/>
      <c r="I77" s="201"/>
      <c r="J77" s="368"/>
      <c r="K77" s="179"/>
      <c r="L77" s="179"/>
      <c r="M77" s="179"/>
    </row>
    <row r="78" spans="2:13" ht="15.75" x14ac:dyDescent="0.25">
      <c r="B78" s="167"/>
      <c r="C78" s="368"/>
      <c r="D78" s="370"/>
      <c r="E78" s="149" t="s">
        <v>678</v>
      </c>
      <c r="F78" s="201" t="s">
        <v>740</v>
      </c>
      <c r="G78" s="201" t="s">
        <v>740</v>
      </c>
      <c r="H78" s="330" t="s">
        <v>740</v>
      </c>
      <c r="I78" s="154"/>
      <c r="J78" s="368"/>
      <c r="K78" s="179"/>
      <c r="L78" s="179"/>
      <c r="M78" s="179"/>
    </row>
    <row r="79" spans="2:13" ht="15.75" x14ac:dyDescent="0.25">
      <c r="B79" s="168"/>
      <c r="C79" s="369"/>
      <c r="D79" s="370"/>
      <c r="E79" s="149" t="s">
        <v>679</v>
      </c>
      <c r="F79" s="154" t="s">
        <v>1040</v>
      </c>
      <c r="G79" s="154" t="s">
        <v>762</v>
      </c>
      <c r="H79" s="154" t="s">
        <v>760</v>
      </c>
      <c r="I79" s="154"/>
      <c r="J79" s="369"/>
      <c r="K79" s="179"/>
      <c r="L79" s="179"/>
      <c r="M79" s="179"/>
    </row>
    <row r="80" spans="2:13" ht="15.75" x14ac:dyDescent="0.25">
      <c r="B80" s="169" t="s">
        <v>1039</v>
      </c>
      <c r="C80" s="138">
        <v>1</v>
      </c>
      <c r="D80" s="147" t="s">
        <v>243</v>
      </c>
      <c r="E80" s="149"/>
      <c r="F80" s="145">
        <f>15*1.5</f>
        <v>22.5</v>
      </c>
      <c r="G80" s="145">
        <v>21.9</v>
      </c>
      <c r="H80" s="144">
        <v>12.9</v>
      </c>
      <c r="I80" s="154"/>
      <c r="J80" s="15">
        <f>MEDIAN(F80:I80)</f>
        <v>21.9</v>
      </c>
      <c r="K80" s="179"/>
      <c r="L80" s="179"/>
      <c r="M80" s="179"/>
    </row>
    <row r="81" spans="2:13" x14ac:dyDescent="0.25">
      <c r="B81" s="170"/>
      <c r="F81" s="211" t="s">
        <v>952</v>
      </c>
      <c r="K81" s="179"/>
      <c r="L81" s="179"/>
      <c r="M81" s="179"/>
    </row>
    <row r="82" spans="2:13" s="179" customFormat="1" ht="15.75" x14ac:dyDescent="0.25">
      <c r="B82" s="166" t="s">
        <v>1242</v>
      </c>
      <c r="C82" s="372" t="s">
        <v>683</v>
      </c>
      <c r="D82" s="370" t="s">
        <v>684</v>
      </c>
      <c r="E82" s="188"/>
      <c r="F82" s="371" t="s">
        <v>675</v>
      </c>
      <c r="G82" s="371"/>
      <c r="H82" s="371"/>
      <c r="I82" s="371"/>
      <c r="J82" s="367" t="s">
        <v>685</v>
      </c>
    </row>
    <row r="83" spans="2:13" s="179" customFormat="1" ht="15.75" x14ac:dyDescent="0.25">
      <c r="B83" s="167" t="s">
        <v>745</v>
      </c>
      <c r="C83" s="373"/>
      <c r="D83" s="370"/>
      <c r="E83" s="188" t="s">
        <v>676</v>
      </c>
      <c r="F83" s="201" t="s">
        <v>1023</v>
      </c>
      <c r="G83" s="162" t="s">
        <v>1025</v>
      </c>
      <c r="H83" s="201" t="s">
        <v>988</v>
      </c>
      <c r="I83" s="330"/>
      <c r="J83" s="368"/>
    </row>
    <row r="84" spans="2:13" s="179" customFormat="1" ht="15.75" x14ac:dyDescent="0.25">
      <c r="B84" s="167" t="s">
        <v>746</v>
      </c>
      <c r="C84" s="373"/>
      <c r="D84" s="370"/>
      <c r="E84" s="188" t="s">
        <v>677</v>
      </c>
      <c r="F84" s="201" t="s">
        <v>1024</v>
      </c>
      <c r="G84" s="152" t="s">
        <v>1026</v>
      </c>
      <c r="H84" s="201">
        <v>40071380</v>
      </c>
      <c r="I84" s="330"/>
      <c r="J84" s="368"/>
    </row>
    <row r="85" spans="2:13" s="179" customFormat="1" ht="15.75" x14ac:dyDescent="0.25">
      <c r="B85" s="167" t="s">
        <v>1243</v>
      </c>
      <c r="C85" s="373"/>
      <c r="D85" s="370"/>
      <c r="E85" s="188" t="s">
        <v>678</v>
      </c>
      <c r="F85" s="201" t="s">
        <v>740</v>
      </c>
      <c r="G85" s="201" t="s">
        <v>740</v>
      </c>
      <c r="H85" s="201" t="s">
        <v>740</v>
      </c>
      <c r="I85" s="154"/>
      <c r="J85" s="368"/>
    </row>
    <row r="86" spans="2:13" s="179" customFormat="1" ht="15.75" x14ac:dyDescent="0.25">
      <c r="B86" s="167" t="s">
        <v>1063</v>
      </c>
      <c r="C86" s="374"/>
      <c r="D86" s="370"/>
      <c r="E86" s="188" t="s">
        <v>679</v>
      </c>
      <c r="F86" s="154" t="s">
        <v>1028</v>
      </c>
      <c r="G86" s="155" t="s">
        <v>1027</v>
      </c>
      <c r="H86" s="154" t="s">
        <v>989</v>
      </c>
      <c r="I86" s="160"/>
      <c r="J86" s="369"/>
    </row>
    <row r="87" spans="2:13" s="179" customFormat="1" ht="15.75" x14ac:dyDescent="0.25">
      <c r="B87" s="169" t="s">
        <v>1029</v>
      </c>
      <c r="C87" s="335">
        <v>1</v>
      </c>
      <c r="D87" s="147" t="s">
        <v>243</v>
      </c>
      <c r="E87" s="200"/>
      <c r="F87" s="144">
        <f>10.47*1.1</f>
        <v>11.517000000000001</v>
      </c>
      <c r="G87" s="145">
        <v>10.11</v>
      </c>
      <c r="H87" s="139">
        <v>7.79</v>
      </c>
      <c r="I87" s="139"/>
      <c r="J87" s="15">
        <f>MEDIAN(F87:I87)</f>
        <v>10.11</v>
      </c>
    </row>
    <row r="88" spans="2:13" s="179" customFormat="1" ht="15.75" x14ac:dyDescent="0.25">
      <c r="B88" s="169" t="s">
        <v>1030</v>
      </c>
      <c r="C88" s="335">
        <v>1</v>
      </c>
      <c r="D88" s="147" t="s">
        <v>243</v>
      </c>
      <c r="E88" s="200"/>
      <c r="F88" s="144">
        <f>1.89*1.1</f>
        <v>2.0790000000000002</v>
      </c>
      <c r="G88" s="145">
        <v>3.88</v>
      </c>
      <c r="H88" s="139">
        <v>5.9</v>
      </c>
      <c r="I88" s="139"/>
      <c r="J88" s="15">
        <f>MEDIAN(F88:I88)</f>
        <v>3.88</v>
      </c>
    </row>
    <row r="89" spans="2:13" s="179" customFormat="1" ht="15.75" x14ac:dyDescent="0.25">
      <c r="B89" s="169" t="s">
        <v>1041</v>
      </c>
      <c r="C89" s="335">
        <v>1</v>
      </c>
      <c r="D89" s="147" t="s">
        <v>243</v>
      </c>
      <c r="E89" s="200"/>
      <c r="F89" s="144">
        <f>7*1.1</f>
        <v>7.7000000000000011</v>
      </c>
      <c r="G89" s="145">
        <v>5.36</v>
      </c>
      <c r="H89" s="139">
        <v>14.9</v>
      </c>
      <c r="I89" s="139"/>
      <c r="J89" s="15">
        <f>MEDIAN(F89:I89)</f>
        <v>7.7000000000000011</v>
      </c>
    </row>
    <row r="90" spans="2:13" s="179" customFormat="1" ht="15.75" x14ac:dyDescent="0.25">
      <c r="B90" s="169" t="s">
        <v>1031</v>
      </c>
      <c r="C90" s="335">
        <v>1</v>
      </c>
      <c r="D90" s="147" t="s">
        <v>243</v>
      </c>
      <c r="E90" s="200"/>
      <c r="F90" s="144">
        <f>0.99*1.1</f>
        <v>1.089</v>
      </c>
      <c r="G90" s="145">
        <f>6.82/10</f>
        <v>0.68200000000000005</v>
      </c>
      <c r="H90" s="139">
        <v>2.09</v>
      </c>
      <c r="I90" s="139"/>
      <c r="J90" s="15">
        <f>MEDIAN(F90:I90)</f>
        <v>1.089</v>
      </c>
    </row>
    <row r="91" spans="2:13" s="179" customFormat="1" ht="15.75" x14ac:dyDescent="0.25">
      <c r="B91" s="169" t="s">
        <v>1032</v>
      </c>
      <c r="C91" s="335">
        <v>1</v>
      </c>
      <c r="D91" s="147" t="s">
        <v>243</v>
      </c>
      <c r="E91" s="200"/>
      <c r="F91" s="144">
        <f>13.88*1.1</f>
        <v>15.268000000000002</v>
      </c>
      <c r="G91" s="145">
        <v>7.4</v>
      </c>
      <c r="H91" s="139">
        <v>16.899999999999999</v>
      </c>
      <c r="I91" s="139"/>
      <c r="J91" s="15">
        <f>MEDIAN(F91:I91)</f>
        <v>15.268000000000002</v>
      </c>
    </row>
    <row r="92" spans="2:13" s="179" customFormat="1" x14ac:dyDescent="0.25">
      <c r="B92" s="170"/>
    </row>
    <row r="93" spans="2:13" ht="15.75" x14ac:dyDescent="0.25">
      <c r="B93" s="166" t="s">
        <v>1064</v>
      </c>
      <c r="C93" s="367" t="s">
        <v>683</v>
      </c>
      <c r="D93" s="370" t="s">
        <v>684</v>
      </c>
      <c r="E93" s="149"/>
      <c r="F93" s="371" t="s">
        <v>675</v>
      </c>
      <c r="G93" s="371"/>
      <c r="H93" s="371"/>
      <c r="I93" s="371"/>
      <c r="J93" s="367" t="s">
        <v>685</v>
      </c>
    </row>
    <row r="94" spans="2:13" ht="15.75" x14ac:dyDescent="0.25">
      <c r="B94" s="167"/>
      <c r="C94" s="368"/>
      <c r="D94" s="370"/>
      <c r="E94" s="149" t="s">
        <v>676</v>
      </c>
      <c r="F94" s="151" t="s">
        <v>988</v>
      </c>
      <c r="G94" s="196" t="s">
        <v>759</v>
      </c>
      <c r="H94" s="149" t="s">
        <v>965</v>
      </c>
      <c r="I94" s="330"/>
      <c r="J94" s="368"/>
    </row>
    <row r="95" spans="2:13" ht="15.75" x14ac:dyDescent="0.25">
      <c r="B95" s="167"/>
      <c r="C95" s="368"/>
      <c r="D95" s="370"/>
      <c r="E95" s="149" t="s">
        <v>677</v>
      </c>
      <c r="F95" s="151">
        <v>40071380</v>
      </c>
      <c r="G95" s="196"/>
      <c r="H95" s="151"/>
      <c r="I95" s="151"/>
      <c r="J95" s="368"/>
    </row>
    <row r="96" spans="2:13" ht="15.75" x14ac:dyDescent="0.25">
      <c r="B96" s="167"/>
      <c r="C96" s="368"/>
      <c r="D96" s="370"/>
      <c r="E96" s="149" t="s">
        <v>678</v>
      </c>
      <c r="F96" s="151" t="s">
        <v>740</v>
      </c>
      <c r="G96" s="196" t="s">
        <v>740</v>
      </c>
      <c r="H96" s="151" t="s">
        <v>740</v>
      </c>
      <c r="I96" s="154"/>
      <c r="J96" s="368"/>
    </row>
    <row r="97" spans="2:10" ht="15.75" x14ac:dyDescent="0.25">
      <c r="B97" s="168"/>
      <c r="C97" s="369"/>
      <c r="D97" s="370"/>
      <c r="E97" s="149" t="s">
        <v>679</v>
      </c>
      <c r="F97" s="155" t="s">
        <v>989</v>
      </c>
      <c r="G97" s="154" t="s">
        <v>760</v>
      </c>
      <c r="H97" s="154" t="s">
        <v>990</v>
      </c>
      <c r="I97" s="160"/>
      <c r="J97" s="369"/>
    </row>
    <row r="98" spans="2:10" ht="15.75" x14ac:dyDescent="0.25">
      <c r="B98" s="169" t="s">
        <v>987</v>
      </c>
      <c r="C98" s="138"/>
      <c r="D98" s="147" t="s">
        <v>243</v>
      </c>
      <c r="E98" s="149"/>
      <c r="F98" s="144">
        <v>3.09</v>
      </c>
      <c r="G98" s="145">
        <v>1</v>
      </c>
      <c r="H98" s="139">
        <v>0.69</v>
      </c>
      <c r="I98" s="139"/>
      <c r="J98" s="15">
        <f>MEDIAN(F98:I98)</f>
        <v>1</v>
      </c>
    </row>
    <row r="99" spans="2:10" x14ac:dyDescent="0.25">
      <c r="B99" s="170"/>
    </row>
    <row r="100" spans="2:10" ht="15.75" x14ac:dyDescent="0.25">
      <c r="B100" s="166" t="s">
        <v>1065</v>
      </c>
      <c r="C100" s="367" t="s">
        <v>683</v>
      </c>
      <c r="D100" s="370" t="s">
        <v>684</v>
      </c>
      <c r="E100" s="149"/>
      <c r="F100" s="371" t="s">
        <v>675</v>
      </c>
      <c r="G100" s="371"/>
      <c r="H100" s="371"/>
      <c r="I100" s="371"/>
      <c r="J100" s="367" t="s">
        <v>685</v>
      </c>
    </row>
    <row r="101" spans="2:10" ht="15.75" x14ac:dyDescent="0.25">
      <c r="B101" s="167"/>
      <c r="C101" s="368"/>
      <c r="D101" s="370"/>
      <c r="E101" s="149" t="s">
        <v>676</v>
      </c>
      <c r="F101" s="151" t="s">
        <v>991</v>
      </c>
      <c r="G101" s="196" t="s">
        <v>759</v>
      </c>
      <c r="H101" s="149" t="s">
        <v>993</v>
      </c>
      <c r="I101" s="330"/>
      <c r="J101" s="368"/>
    </row>
    <row r="102" spans="2:10" ht="15.75" x14ac:dyDescent="0.25">
      <c r="B102" s="167"/>
      <c r="C102" s="368"/>
      <c r="D102" s="370"/>
      <c r="E102" s="149" t="s">
        <v>677</v>
      </c>
      <c r="F102" s="151"/>
      <c r="G102" s="196"/>
      <c r="H102" s="151"/>
      <c r="I102" s="151"/>
      <c r="J102" s="368"/>
    </row>
    <row r="103" spans="2:10" ht="15.75" x14ac:dyDescent="0.25">
      <c r="B103" s="167"/>
      <c r="C103" s="368"/>
      <c r="D103" s="370"/>
      <c r="E103" s="149" t="s">
        <v>678</v>
      </c>
      <c r="F103" s="196" t="s">
        <v>740</v>
      </c>
      <c r="G103" s="196" t="s">
        <v>740</v>
      </c>
      <c r="H103" s="151" t="s">
        <v>740</v>
      </c>
      <c r="I103" s="154"/>
      <c r="J103" s="368"/>
    </row>
    <row r="104" spans="2:10" ht="15.75" x14ac:dyDescent="0.25">
      <c r="B104" s="168"/>
      <c r="C104" s="369"/>
      <c r="D104" s="370"/>
      <c r="E104" s="149" t="s">
        <v>679</v>
      </c>
      <c r="F104" s="154" t="s">
        <v>761</v>
      </c>
      <c r="G104" s="154" t="s">
        <v>760</v>
      </c>
      <c r="H104" s="154" t="s">
        <v>1070</v>
      </c>
      <c r="I104" s="160"/>
      <c r="J104" s="369"/>
    </row>
    <row r="105" spans="2:10" ht="15.75" x14ac:dyDescent="0.25">
      <c r="B105" s="169" t="s">
        <v>992</v>
      </c>
      <c r="C105" s="138"/>
      <c r="D105" s="147" t="s">
        <v>243</v>
      </c>
      <c r="E105" s="149"/>
      <c r="F105" s="144">
        <f>119.9+15.6</f>
        <v>135.5</v>
      </c>
      <c r="G105" s="145">
        <v>99.9</v>
      </c>
      <c r="H105" s="139">
        <f>97.43+26.75</f>
        <v>124.18</v>
      </c>
      <c r="I105" s="139"/>
      <c r="J105" s="15">
        <f>MEDIAN(F105:I105)</f>
        <v>124.18</v>
      </c>
    </row>
    <row r="106" spans="2:10" x14ac:dyDescent="0.25">
      <c r="B106" s="170"/>
    </row>
    <row r="107" spans="2:10" ht="15.75" x14ac:dyDescent="0.25">
      <c r="B107" s="166" t="s">
        <v>1066</v>
      </c>
      <c r="C107" s="367" t="s">
        <v>683</v>
      </c>
      <c r="D107" s="370" t="s">
        <v>684</v>
      </c>
      <c r="E107" s="149"/>
      <c r="F107" s="371" t="s">
        <v>675</v>
      </c>
      <c r="G107" s="371"/>
      <c r="H107" s="371"/>
      <c r="I107" s="371"/>
      <c r="J107" s="367" t="s">
        <v>685</v>
      </c>
    </row>
    <row r="108" spans="2:10" ht="15.75" x14ac:dyDescent="0.25">
      <c r="B108" s="167"/>
      <c r="C108" s="368"/>
      <c r="D108" s="370"/>
      <c r="E108" s="149" t="s">
        <v>676</v>
      </c>
      <c r="F108" s="196" t="s">
        <v>988</v>
      </c>
      <c r="G108" s="196" t="s">
        <v>759</v>
      </c>
      <c r="H108" s="195" t="s">
        <v>965</v>
      </c>
      <c r="I108" s="330"/>
      <c r="J108" s="368"/>
    </row>
    <row r="109" spans="2:10" ht="15.75" x14ac:dyDescent="0.25">
      <c r="B109" s="167"/>
      <c r="C109" s="368"/>
      <c r="D109" s="370"/>
      <c r="E109" s="149" t="s">
        <v>677</v>
      </c>
      <c r="F109" s="196">
        <v>40071380</v>
      </c>
      <c r="G109" s="196"/>
      <c r="H109" s="196"/>
      <c r="I109" s="151"/>
      <c r="J109" s="368"/>
    </row>
    <row r="110" spans="2:10" ht="15.75" x14ac:dyDescent="0.25">
      <c r="B110" s="167"/>
      <c r="C110" s="368"/>
      <c r="D110" s="370"/>
      <c r="E110" s="149" t="s">
        <v>678</v>
      </c>
      <c r="F110" s="196" t="s">
        <v>740</v>
      </c>
      <c r="G110" s="196" t="s">
        <v>740</v>
      </c>
      <c r="H110" s="196" t="s">
        <v>740</v>
      </c>
      <c r="I110" s="154"/>
      <c r="J110" s="368"/>
    </row>
    <row r="111" spans="2:10" ht="15.75" x14ac:dyDescent="0.25">
      <c r="B111" s="168"/>
      <c r="C111" s="369"/>
      <c r="D111" s="370"/>
      <c r="E111" s="149" t="s">
        <v>679</v>
      </c>
      <c r="F111" s="154" t="s">
        <v>989</v>
      </c>
      <c r="G111" s="154" t="s">
        <v>760</v>
      </c>
      <c r="H111" s="154" t="s">
        <v>990</v>
      </c>
      <c r="I111" s="160"/>
      <c r="J111" s="369"/>
    </row>
    <row r="112" spans="2:10" ht="15.75" x14ac:dyDescent="0.25">
      <c r="B112" s="169" t="s">
        <v>969</v>
      </c>
      <c r="C112" s="138"/>
      <c r="D112" s="147" t="s">
        <v>243</v>
      </c>
      <c r="E112" s="149"/>
      <c r="F112" s="144">
        <v>41.99</v>
      </c>
      <c r="G112" s="145">
        <v>34.9</v>
      </c>
      <c r="H112" s="139">
        <v>31.55</v>
      </c>
      <c r="I112" s="139"/>
      <c r="J112" s="15">
        <f>MEDIAN(F112:I112)</f>
        <v>34.9</v>
      </c>
    </row>
    <row r="113" spans="2:10" x14ac:dyDescent="0.25">
      <c r="B113" s="170"/>
    </row>
    <row r="114" spans="2:10" s="179" customFormat="1" ht="15.75" x14ac:dyDescent="0.25">
      <c r="B114" s="166" t="s">
        <v>747</v>
      </c>
      <c r="C114" s="367" t="s">
        <v>683</v>
      </c>
      <c r="D114" s="370" t="s">
        <v>684</v>
      </c>
      <c r="E114" s="188"/>
      <c r="F114" s="371" t="s">
        <v>675</v>
      </c>
      <c r="G114" s="371"/>
      <c r="H114" s="371"/>
      <c r="I114" s="371"/>
      <c r="J114" s="367" t="s">
        <v>685</v>
      </c>
    </row>
    <row r="115" spans="2:10" s="179" customFormat="1" ht="15.75" x14ac:dyDescent="0.25">
      <c r="B115" s="167"/>
      <c r="C115" s="368"/>
      <c r="D115" s="370"/>
      <c r="E115" s="188" t="s">
        <v>676</v>
      </c>
      <c r="F115" s="330" t="s">
        <v>988</v>
      </c>
      <c r="G115" s="196" t="s">
        <v>759</v>
      </c>
      <c r="H115" s="195" t="s">
        <v>965</v>
      </c>
      <c r="I115" s="330"/>
      <c r="J115" s="368"/>
    </row>
    <row r="116" spans="2:10" s="179" customFormat="1" ht="15.75" x14ac:dyDescent="0.25">
      <c r="B116" s="167"/>
      <c r="C116" s="368"/>
      <c r="D116" s="370"/>
      <c r="E116" s="188" t="s">
        <v>677</v>
      </c>
      <c r="F116" s="330">
        <v>40071380</v>
      </c>
      <c r="G116" s="196"/>
      <c r="H116" s="196"/>
      <c r="I116" s="189"/>
      <c r="J116" s="368"/>
    </row>
    <row r="117" spans="2:10" s="179" customFormat="1" ht="15.75" x14ac:dyDescent="0.25">
      <c r="B117" s="167"/>
      <c r="C117" s="368"/>
      <c r="D117" s="370"/>
      <c r="E117" s="188" t="s">
        <v>678</v>
      </c>
      <c r="F117" s="330" t="s">
        <v>740</v>
      </c>
      <c r="G117" s="196" t="s">
        <v>740</v>
      </c>
      <c r="H117" s="196" t="s">
        <v>740</v>
      </c>
      <c r="I117" s="154"/>
      <c r="J117" s="368"/>
    </row>
    <row r="118" spans="2:10" s="179" customFormat="1" ht="15.75" x14ac:dyDescent="0.25">
      <c r="B118" s="168"/>
      <c r="C118" s="369"/>
      <c r="D118" s="370"/>
      <c r="E118" s="188" t="s">
        <v>679</v>
      </c>
      <c r="F118" s="154" t="s">
        <v>989</v>
      </c>
      <c r="G118" s="154" t="s">
        <v>760</v>
      </c>
      <c r="H118" s="154" t="s">
        <v>990</v>
      </c>
      <c r="I118" s="160"/>
      <c r="J118" s="369"/>
    </row>
    <row r="119" spans="2:10" s="179" customFormat="1" ht="15.75" x14ac:dyDescent="0.25">
      <c r="B119" s="169" t="s">
        <v>994</v>
      </c>
      <c r="C119" s="138"/>
      <c r="D119" s="147" t="s">
        <v>243</v>
      </c>
      <c r="E119" s="188"/>
      <c r="F119" s="144">
        <v>29.9</v>
      </c>
      <c r="G119" s="145">
        <v>29.9</v>
      </c>
      <c r="H119" s="139">
        <v>29.33</v>
      </c>
      <c r="I119" s="139"/>
      <c r="J119" s="15">
        <f>MEDIAN(F119:I119)</f>
        <v>29.9</v>
      </c>
    </row>
    <row r="120" spans="2:10" x14ac:dyDescent="0.25">
      <c r="B120" s="170"/>
    </row>
    <row r="121" spans="2:10" ht="15.75" x14ac:dyDescent="0.25">
      <c r="B121" s="166" t="s">
        <v>1033</v>
      </c>
      <c r="C121" s="367" t="s">
        <v>683</v>
      </c>
      <c r="D121" s="370" t="s">
        <v>684</v>
      </c>
      <c r="E121" s="149"/>
      <c r="F121" s="371" t="s">
        <v>675</v>
      </c>
      <c r="G121" s="371"/>
      <c r="H121" s="371"/>
      <c r="I121" s="371"/>
      <c r="J121" s="367" t="s">
        <v>685</v>
      </c>
    </row>
    <row r="122" spans="2:10" ht="15.75" x14ac:dyDescent="0.25">
      <c r="B122" s="167"/>
      <c r="C122" s="368"/>
      <c r="D122" s="370"/>
      <c r="E122" s="149" t="s">
        <v>676</v>
      </c>
      <c r="F122" s="196" t="s">
        <v>988</v>
      </c>
      <c r="G122" s="196" t="s">
        <v>759</v>
      </c>
      <c r="H122" s="195" t="s">
        <v>965</v>
      </c>
      <c r="I122" s="330"/>
      <c r="J122" s="368"/>
    </row>
    <row r="123" spans="2:10" ht="15.75" x14ac:dyDescent="0.25">
      <c r="B123" s="167"/>
      <c r="C123" s="368"/>
      <c r="D123" s="370"/>
      <c r="E123" s="149" t="s">
        <v>677</v>
      </c>
      <c r="F123" s="196"/>
      <c r="G123" s="196"/>
      <c r="H123" s="196"/>
      <c r="I123" s="151"/>
      <c r="J123" s="368"/>
    </row>
    <row r="124" spans="2:10" ht="15.75" x14ac:dyDescent="0.25">
      <c r="B124" s="167"/>
      <c r="C124" s="368"/>
      <c r="D124" s="370"/>
      <c r="E124" s="149" t="s">
        <v>678</v>
      </c>
      <c r="F124" s="196" t="s">
        <v>740</v>
      </c>
      <c r="G124" s="196" t="s">
        <v>740</v>
      </c>
      <c r="H124" s="196" t="s">
        <v>740</v>
      </c>
      <c r="I124" s="154"/>
      <c r="J124" s="368"/>
    </row>
    <row r="125" spans="2:10" ht="15.75" x14ac:dyDescent="0.25">
      <c r="B125" s="168"/>
      <c r="C125" s="369"/>
      <c r="D125" s="370"/>
      <c r="E125" s="149" t="s">
        <v>679</v>
      </c>
      <c r="F125" s="154" t="s">
        <v>989</v>
      </c>
      <c r="G125" s="154" t="s">
        <v>760</v>
      </c>
      <c r="H125" s="154" t="s">
        <v>990</v>
      </c>
      <c r="I125" s="160"/>
      <c r="J125" s="369"/>
    </row>
    <row r="126" spans="2:10" ht="15.75" x14ac:dyDescent="0.25">
      <c r="B126" s="169" t="s">
        <v>347</v>
      </c>
      <c r="C126" s="138"/>
      <c r="D126" s="147" t="s">
        <v>243</v>
      </c>
      <c r="E126" s="149"/>
      <c r="F126" s="144">
        <v>19.899999999999999</v>
      </c>
      <c r="G126" s="145">
        <v>24.9</v>
      </c>
      <c r="H126" s="139">
        <v>24.34</v>
      </c>
      <c r="I126" s="139"/>
      <c r="J126" s="15">
        <f>MEDIAN(F126:I126)</f>
        <v>24.34</v>
      </c>
    </row>
    <row r="127" spans="2:10" x14ac:dyDescent="0.25">
      <c r="B127" s="170"/>
    </row>
    <row r="128" spans="2:10" ht="15.75" x14ac:dyDescent="0.25">
      <c r="B128" s="166" t="s">
        <v>1034</v>
      </c>
      <c r="C128" s="367" t="s">
        <v>683</v>
      </c>
      <c r="D128" s="370" t="s">
        <v>684</v>
      </c>
      <c r="E128" s="149"/>
      <c r="F128" s="371" t="s">
        <v>675</v>
      </c>
      <c r="G128" s="371"/>
      <c r="H128" s="371"/>
      <c r="I128" s="371"/>
      <c r="J128" s="367" t="s">
        <v>685</v>
      </c>
    </row>
    <row r="129" spans="2:10" ht="15.75" x14ac:dyDescent="0.25">
      <c r="B129" s="167"/>
      <c r="C129" s="368"/>
      <c r="D129" s="370"/>
      <c r="E129" s="149" t="s">
        <v>676</v>
      </c>
      <c r="F129" s="189" t="s">
        <v>759</v>
      </c>
      <c r="G129" s="162" t="s">
        <v>956</v>
      </c>
      <c r="H129" s="202" t="s">
        <v>1053</v>
      </c>
      <c r="I129" s="203"/>
      <c r="J129" s="368"/>
    </row>
    <row r="130" spans="2:10" ht="15.75" x14ac:dyDescent="0.25">
      <c r="B130" s="167"/>
      <c r="C130" s="368"/>
      <c r="D130" s="370"/>
      <c r="E130" s="149" t="s">
        <v>677</v>
      </c>
      <c r="F130" s="189"/>
      <c r="G130" s="152" t="s">
        <v>959</v>
      </c>
      <c r="H130" s="203" t="s">
        <v>1054</v>
      </c>
      <c r="I130" s="203"/>
      <c r="J130" s="368"/>
    </row>
    <row r="131" spans="2:10" ht="15.75" x14ac:dyDescent="0.25">
      <c r="B131" s="167"/>
      <c r="C131" s="368"/>
      <c r="D131" s="370"/>
      <c r="E131" s="149" t="s">
        <v>678</v>
      </c>
      <c r="F131" s="189" t="s">
        <v>740</v>
      </c>
      <c r="G131" s="152" t="s">
        <v>958</v>
      </c>
      <c r="H131" s="203" t="s">
        <v>1058</v>
      </c>
      <c r="I131" s="154"/>
      <c r="J131" s="368"/>
    </row>
    <row r="132" spans="2:10" ht="15.75" x14ac:dyDescent="0.25">
      <c r="B132" s="168"/>
      <c r="C132" s="369"/>
      <c r="D132" s="370"/>
      <c r="E132" s="149" t="s">
        <v>679</v>
      </c>
      <c r="F132" s="154" t="s">
        <v>760</v>
      </c>
      <c r="G132" s="154" t="s">
        <v>957</v>
      </c>
      <c r="H132" s="154" t="s">
        <v>1057</v>
      </c>
      <c r="I132" s="154"/>
      <c r="J132" s="369"/>
    </row>
    <row r="133" spans="2:10" ht="15.75" x14ac:dyDescent="0.25">
      <c r="B133" s="169" t="s">
        <v>351</v>
      </c>
      <c r="C133" s="138"/>
      <c r="D133" s="147" t="s">
        <v>243</v>
      </c>
      <c r="E133" s="149"/>
      <c r="F133" s="144">
        <v>119.9</v>
      </c>
      <c r="G133" s="145">
        <v>46.9</v>
      </c>
      <c r="H133" s="139">
        <v>59.9</v>
      </c>
      <c r="I133" s="139"/>
      <c r="J133" s="15">
        <f>MEDIAN(F133:I133)</f>
        <v>59.9</v>
      </c>
    </row>
    <row r="134" spans="2:10" x14ac:dyDescent="0.25">
      <c r="B134" s="170"/>
      <c r="F134" s="179"/>
    </row>
    <row r="135" spans="2:10" s="179" customFormat="1" ht="15.75" x14ac:dyDescent="0.25">
      <c r="B135" s="166" t="s">
        <v>1035</v>
      </c>
      <c r="C135" s="367" t="s">
        <v>683</v>
      </c>
      <c r="D135" s="370" t="s">
        <v>684</v>
      </c>
      <c r="E135" s="188"/>
      <c r="F135" s="371" t="s">
        <v>675</v>
      </c>
      <c r="G135" s="371"/>
      <c r="H135" s="371"/>
      <c r="I135" s="371"/>
      <c r="J135" s="367" t="s">
        <v>685</v>
      </c>
    </row>
    <row r="136" spans="2:10" s="179" customFormat="1" ht="15.75" x14ac:dyDescent="0.25">
      <c r="B136" s="167"/>
      <c r="C136" s="368"/>
      <c r="D136" s="370"/>
      <c r="E136" s="188" t="s">
        <v>676</v>
      </c>
      <c r="F136" s="189" t="s">
        <v>1244</v>
      </c>
      <c r="G136" s="162" t="s">
        <v>971</v>
      </c>
      <c r="H136" s="189" t="s">
        <v>995</v>
      </c>
      <c r="I136" s="330"/>
      <c r="J136" s="368"/>
    </row>
    <row r="137" spans="2:10" s="179" customFormat="1" ht="15.75" x14ac:dyDescent="0.25">
      <c r="B137" s="167"/>
      <c r="C137" s="368"/>
      <c r="D137" s="370"/>
      <c r="E137" s="188" t="s">
        <v>677</v>
      </c>
      <c r="F137" s="189" t="s">
        <v>1245</v>
      </c>
      <c r="G137" s="152" t="s">
        <v>970</v>
      </c>
      <c r="H137" s="189" t="s">
        <v>996</v>
      </c>
      <c r="I137" s="189"/>
      <c r="J137" s="368"/>
    </row>
    <row r="138" spans="2:10" s="179" customFormat="1" ht="15.75" x14ac:dyDescent="0.25">
      <c r="B138" s="167"/>
      <c r="C138" s="368"/>
      <c r="D138" s="370"/>
      <c r="E138" s="188" t="s">
        <v>678</v>
      </c>
      <c r="F138" s="189"/>
      <c r="G138" s="152"/>
      <c r="H138" s="189"/>
      <c r="I138" s="189"/>
      <c r="J138" s="368"/>
    </row>
    <row r="139" spans="2:10" s="179" customFormat="1" ht="15.75" x14ac:dyDescent="0.25">
      <c r="B139" s="168"/>
      <c r="C139" s="369"/>
      <c r="D139" s="370"/>
      <c r="E139" s="188" t="s">
        <v>679</v>
      </c>
      <c r="F139" s="156" t="s">
        <v>1246</v>
      </c>
      <c r="G139" s="155" t="s">
        <v>972</v>
      </c>
      <c r="H139" s="155" t="s">
        <v>997</v>
      </c>
      <c r="I139" s="154"/>
      <c r="J139" s="369"/>
    </row>
    <row r="140" spans="2:10" s="179" customFormat="1" ht="15.75" x14ac:dyDescent="0.25">
      <c r="B140" s="169" t="s">
        <v>860</v>
      </c>
      <c r="C140" s="138">
        <v>1</v>
      </c>
      <c r="D140" s="147" t="s">
        <v>243</v>
      </c>
      <c r="E140" s="188"/>
      <c r="F140" s="144">
        <f>235.5/8</f>
        <v>29.4375</v>
      </c>
      <c r="G140" s="145">
        <f>98.1/3</f>
        <v>32.699999999999996</v>
      </c>
      <c r="H140" s="139">
        <v>27.97</v>
      </c>
      <c r="I140" s="139"/>
      <c r="J140" s="15">
        <f>MEDIAN(F140:I140)</f>
        <v>29.4375</v>
      </c>
    </row>
    <row r="142" spans="2:10" s="179" customFormat="1" ht="15.75" x14ac:dyDescent="0.25">
      <c r="B142" s="166" t="s">
        <v>1036</v>
      </c>
      <c r="C142" s="367" t="s">
        <v>683</v>
      </c>
      <c r="D142" s="370" t="s">
        <v>684</v>
      </c>
      <c r="E142" s="195"/>
      <c r="F142" s="371" t="s">
        <v>675</v>
      </c>
      <c r="G142" s="371"/>
      <c r="H142" s="371"/>
      <c r="I142" s="371"/>
      <c r="J142" s="367" t="s">
        <v>685</v>
      </c>
    </row>
    <row r="143" spans="2:10" s="179" customFormat="1" ht="15.75" x14ac:dyDescent="0.25">
      <c r="B143" s="167"/>
      <c r="C143" s="368"/>
      <c r="D143" s="370"/>
      <c r="E143" s="195" t="s">
        <v>676</v>
      </c>
      <c r="F143" s="330" t="s">
        <v>1247</v>
      </c>
      <c r="G143" s="162" t="s">
        <v>998</v>
      </c>
      <c r="H143" s="196" t="s">
        <v>1001</v>
      </c>
      <c r="I143" s="196"/>
      <c r="J143" s="368"/>
    </row>
    <row r="144" spans="2:10" s="179" customFormat="1" ht="15.75" x14ac:dyDescent="0.25">
      <c r="B144" s="167"/>
      <c r="C144" s="368"/>
      <c r="D144" s="370"/>
      <c r="E144" s="195" t="s">
        <v>677</v>
      </c>
      <c r="F144" s="330"/>
      <c r="G144" s="152" t="s">
        <v>999</v>
      </c>
      <c r="H144" s="196" t="s">
        <v>1003</v>
      </c>
      <c r="I144" s="196"/>
      <c r="J144" s="368"/>
    </row>
    <row r="145" spans="2:13" s="179" customFormat="1" ht="15.75" x14ac:dyDescent="0.25">
      <c r="B145" s="167"/>
      <c r="C145" s="368"/>
      <c r="D145" s="370"/>
      <c r="E145" s="195" t="s">
        <v>678</v>
      </c>
      <c r="F145" s="330"/>
      <c r="G145" s="152" t="s">
        <v>740</v>
      </c>
      <c r="H145" s="196" t="s">
        <v>740</v>
      </c>
      <c r="I145" s="196"/>
      <c r="J145" s="368"/>
    </row>
    <row r="146" spans="2:13" s="179" customFormat="1" ht="15.75" x14ac:dyDescent="0.25">
      <c r="B146" s="168"/>
      <c r="C146" s="369"/>
      <c r="D146" s="370"/>
      <c r="E146" s="195" t="s">
        <v>679</v>
      </c>
      <c r="F146" s="154" t="s">
        <v>1248</v>
      </c>
      <c r="G146" s="154" t="s">
        <v>1000</v>
      </c>
      <c r="H146" s="154" t="s">
        <v>1002</v>
      </c>
      <c r="I146" s="154"/>
      <c r="J146" s="369"/>
    </row>
    <row r="147" spans="2:13" s="179" customFormat="1" ht="15.75" x14ac:dyDescent="0.25">
      <c r="B147" s="169" t="s">
        <v>863</v>
      </c>
      <c r="C147" s="138">
        <v>1</v>
      </c>
      <c r="D147" s="147" t="s">
        <v>243</v>
      </c>
      <c r="E147" s="188"/>
      <c r="F147" s="139">
        <f>128.69/2</f>
        <v>64.344999999999999</v>
      </c>
      <c r="G147" s="145">
        <f>86.82/2</f>
        <v>43.41</v>
      </c>
      <c r="H147" s="139">
        <f>147.9/2</f>
        <v>73.95</v>
      </c>
      <c r="I147" s="139"/>
      <c r="J147" s="15">
        <f>MEDIAN(F147:I147)</f>
        <v>64.344999999999999</v>
      </c>
    </row>
    <row r="148" spans="2:13" s="179" customFormat="1" x14ac:dyDescent="0.25"/>
    <row r="149" spans="2:13" s="179" customFormat="1" ht="15.75" x14ac:dyDescent="0.25">
      <c r="B149" s="166" t="s">
        <v>1249</v>
      </c>
      <c r="C149" s="367" t="s">
        <v>683</v>
      </c>
      <c r="D149" s="370" t="s">
        <v>684</v>
      </c>
      <c r="E149" s="188"/>
      <c r="F149" s="371" t="s">
        <v>675</v>
      </c>
      <c r="G149" s="371"/>
      <c r="H149" s="371"/>
      <c r="I149" s="371"/>
      <c r="J149" s="367" t="s">
        <v>685</v>
      </c>
    </row>
    <row r="150" spans="2:13" s="179" customFormat="1" ht="15.75" x14ac:dyDescent="0.25">
      <c r="B150" s="167"/>
      <c r="C150" s="368"/>
      <c r="D150" s="370"/>
      <c r="E150" s="188" t="s">
        <v>676</v>
      </c>
      <c r="F150" s="189" t="s">
        <v>963</v>
      </c>
      <c r="G150" s="330" t="s">
        <v>759</v>
      </c>
      <c r="H150" s="330" t="s">
        <v>1244</v>
      </c>
      <c r="I150" s="189"/>
      <c r="J150" s="368"/>
    </row>
    <row r="151" spans="2:13" s="179" customFormat="1" ht="15.75" x14ac:dyDescent="0.25">
      <c r="B151" s="167"/>
      <c r="C151" s="368"/>
      <c r="D151" s="370"/>
      <c r="E151" s="188" t="s">
        <v>677</v>
      </c>
      <c r="F151" s="189" t="s">
        <v>964</v>
      </c>
      <c r="G151" s="330"/>
      <c r="H151" s="330" t="s">
        <v>1245</v>
      </c>
      <c r="I151" s="189"/>
      <c r="J151" s="368"/>
    </row>
    <row r="152" spans="2:13" s="179" customFormat="1" ht="15.75" x14ac:dyDescent="0.25">
      <c r="B152" s="167"/>
      <c r="C152" s="368"/>
      <c r="D152" s="370"/>
      <c r="E152" s="188" t="s">
        <v>678</v>
      </c>
      <c r="F152" s="189" t="s">
        <v>740</v>
      </c>
      <c r="G152" s="330" t="s">
        <v>740</v>
      </c>
      <c r="H152" s="330"/>
      <c r="I152" s="152"/>
      <c r="J152" s="368"/>
    </row>
    <row r="153" spans="2:13" s="179" customFormat="1" ht="15.75" x14ac:dyDescent="0.25">
      <c r="B153" s="168"/>
      <c r="C153" s="369"/>
      <c r="D153" s="370"/>
      <c r="E153" s="188" t="s">
        <v>679</v>
      </c>
      <c r="F153" s="156" t="s">
        <v>1004</v>
      </c>
      <c r="G153" s="154" t="s">
        <v>760</v>
      </c>
      <c r="H153" s="156" t="s">
        <v>1246</v>
      </c>
      <c r="I153" s="156"/>
      <c r="J153" s="369"/>
    </row>
    <row r="154" spans="2:13" s="179" customFormat="1" ht="15.75" x14ac:dyDescent="0.25">
      <c r="B154" s="169" t="s">
        <v>960</v>
      </c>
      <c r="C154" s="138">
        <v>10</v>
      </c>
      <c r="D154" s="147" t="s">
        <v>6</v>
      </c>
      <c r="E154" s="188"/>
      <c r="F154" s="144">
        <f>79.6/10</f>
        <v>7.9599999999999991</v>
      </c>
      <c r="G154" s="144">
        <v>5.6</v>
      </c>
      <c r="H154" s="144">
        <f>52.8/10</f>
        <v>5.2799999999999994</v>
      </c>
      <c r="I154" s="139"/>
      <c r="J154" s="15">
        <f>MEDIAN(F154:I154)</f>
        <v>5.6</v>
      </c>
    </row>
    <row r="155" spans="2:13" x14ac:dyDescent="0.25">
      <c r="K155" s="179"/>
      <c r="L155" s="179"/>
      <c r="M155" s="179"/>
    </row>
    <row r="156" spans="2:13" s="179" customFormat="1" ht="15.75" x14ac:dyDescent="0.25">
      <c r="B156" s="166" t="s">
        <v>1250</v>
      </c>
      <c r="C156" s="367" t="s">
        <v>683</v>
      </c>
      <c r="D156" s="370" t="s">
        <v>684</v>
      </c>
      <c r="E156" s="202"/>
      <c r="F156" s="371" t="s">
        <v>675</v>
      </c>
      <c r="G156" s="371"/>
      <c r="H156" s="371"/>
      <c r="I156" s="371"/>
      <c r="J156" s="367" t="s">
        <v>685</v>
      </c>
    </row>
    <row r="157" spans="2:13" s="179" customFormat="1" ht="15.75" x14ac:dyDescent="0.25">
      <c r="B157" s="167" t="s">
        <v>1251</v>
      </c>
      <c r="C157" s="368"/>
      <c r="D157" s="370"/>
      <c r="E157" s="202" t="s">
        <v>676</v>
      </c>
      <c r="F157" s="330" t="s">
        <v>1198</v>
      </c>
      <c r="G157" s="330" t="s">
        <v>1202</v>
      </c>
      <c r="H157" s="330" t="s">
        <v>1205</v>
      </c>
      <c r="I157" s="203" t="s">
        <v>1068</v>
      </c>
      <c r="J157" s="368"/>
    </row>
    <row r="158" spans="2:13" s="179" customFormat="1" ht="15.75" x14ac:dyDescent="0.25">
      <c r="B158" s="167" t="s">
        <v>1252</v>
      </c>
      <c r="C158" s="368"/>
      <c r="D158" s="370"/>
      <c r="E158" s="202" t="s">
        <v>677</v>
      </c>
      <c r="F158" s="330" t="s">
        <v>1199</v>
      </c>
      <c r="G158" s="330" t="s">
        <v>1203</v>
      </c>
      <c r="H158" s="330" t="s">
        <v>1206</v>
      </c>
      <c r="I158" s="203" t="s">
        <v>1055</v>
      </c>
      <c r="J158" s="368"/>
    </row>
    <row r="159" spans="2:13" s="179" customFormat="1" ht="15.75" x14ac:dyDescent="0.25">
      <c r="B159" s="167"/>
      <c r="C159" s="368"/>
      <c r="D159" s="370"/>
      <c r="E159" s="202" t="s">
        <v>678</v>
      </c>
      <c r="F159" s="330" t="s">
        <v>1200</v>
      </c>
      <c r="G159" s="330" t="s">
        <v>1219</v>
      </c>
      <c r="H159" s="330" t="s">
        <v>1218</v>
      </c>
      <c r="I159" s="203" t="s">
        <v>1069</v>
      </c>
      <c r="J159" s="368"/>
    </row>
    <row r="160" spans="2:13" s="179" customFormat="1" ht="15.75" x14ac:dyDescent="0.25">
      <c r="B160" s="168"/>
      <c r="C160" s="369"/>
      <c r="D160" s="370"/>
      <c r="E160" s="202" t="s">
        <v>679</v>
      </c>
      <c r="F160" s="156" t="s">
        <v>1201</v>
      </c>
      <c r="G160" s="156" t="s">
        <v>1204</v>
      </c>
      <c r="H160" s="156" t="s">
        <v>1207</v>
      </c>
      <c r="I160" s="156" t="s">
        <v>1253</v>
      </c>
      <c r="J160" s="369"/>
    </row>
    <row r="161" spans="2:13" s="179" customFormat="1" ht="15.75" x14ac:dyDescent="0.25">
      <c r="B161" s="169" t="s">
        <v>1050</v>
      </c>
      <c r="C161" s="138">
        <v>1</v>
      </c>
      <c r="D161" s="147" t="s">
        <v>6</v>
      </c>
      <c r="E161" s="202"/>
      <c r="F161" s="139">
        <v>45</v>
      </c>
      <c r="G161" s="139">
        <v>60</v>
      </c>
      <c r="H161" s="139">
        <v>40</v>
      </c>
      <c r="I161" s="139">
        <v>45</v>
      </c>
      <c r="J161" s="15">
        <f>MEDIAN(F161:I161)</f>
        <v>45</v>
      </c>
    </row>
    <row r="162" spans="2:13" s="179" customFormat="1" ht="15.75" x14ac:dyDescent="0.25">
      <c r="B162" s="169" t="s">
        <v>1049</v>
      </c>
      <c r="C162" s="138">
        <v>3</v>
      </c>
      <c r="D162" s="147" t="s">
        <v>6</v>
      </c>
      <c r="E162" s="202"/>
      <c r="F162" s="139">
        <v>115</v>
      </c>
      <c r="G162" s="139">
        <v>110</v>
      </c>
      <c r="H162" s="139">
        <v>85</v>
      </c>
      <c r="I162" s="139">
        <v>85</v>
      </c>
      <c r="J162" s="15">
        <f>MEDIAN(F162:I162)</f>
        <v>97.5</v>
      </c>
    </row>
    <row r="163" spans="2:13" s="179" customFormat="1" ht="15.75" x14ac:dyDescent="0.25">
      <c r="B163" s="169" t="s">
        <v>1197</v>
      </c>
      <c r="C163" s="138">
        <v>10</v>
      </c>
      <c r="D163" s="147" t="s">
        <v>6</v>
      </c>
      <c r="E163" s="321"/>
      <c r="F163" s="139">
        <v>45</v>
      </c>
      <c r="G163" s="139">
        <v>70</v>
      </c>
      <c r="H163" s="139">
        <v>40</v>
      </c>
      <c r="I163" s="139">
        <v>45</v>
      </c>
      <c r="J163" s="15">
        <f>MEDIAN(F163:I163)</f>
        <v>45</v>
      </c>
    </row>
    <row r="164" spans="2:13" s="179" customFormat="1" ht="15.75" x14ac:dyDescent="0.25">
      <c r="B164" s="344"/>
      <c r="C164" s="345"/>
      <c r="D164" s="346"/>
      <c r="E164" s="347"/>
      <c r="F164" s="199"/>
      <c r="G164" s="199"/>
      <c r="H164" s="199"/>
      <c r="I164" s="199"/>
      <c r="J164" s="15">
        <f>(J162*3+J163*10)/13</f>
        <v>57.115384615384613</v>
      </c>
    </row>
    <row r="165" spans="2:13" x14ac:dyDescent="0.25">
      <c r="F165" s="161"/>
      <c r="G165" s="161"/>
      <c r="H165" s="161"/>
      <c r="I165" s="161"/>
      <c r="K165" s="179"/>
      <c r="L165" s="179"/>
      <c r="M165" s="179"/>
    </row>
    <row r="166" spans="2:13" s="179" customFormat="1" ht="15.75" x14ac:dyDescent="0.25">
      <c r="B166" s="166" t="s">
        <v>1254</v>
      </c>
      <c r="C166" s="367" t="s">
        <v>683</v>
      </c>
      <c r="D166" s="370" t="s">
        <v>684</v>
      </c>
      <c r="E166" s="213"/>
      <c r="F166" s="371" t="s">
        <v>675</v>
      </c>
      <c r="G166" s="371"/>
      <c r="H166" s="371"/>
      <c r="I166" s="371"/>
      <c r="J166" s="367" t="s">
        <v>685</v>
      </c>
    </row>
    <row r="167" spans="2:13" s="179" customFormat="1" ht="15.75" x14ac:dyDescent="0.25">
      <c r="B167" s="167" t="s">
        <v>1255</v>
      </c>
      <c r="C167" s="368"/>
      <c r="D167" s="370"/>
      <c r="E167" s="213" t="s">
        <v>676</v>
      </c>
      <c r="F167" s="330" t="s">
        <v>1208</v>
      </c>
      <c r="G167" s="329" t="s">
        <v>1072</v>
      </c>
      <c r="H167" s="330" t="s">
        <v>1212</v>
      </c>
      <c r="I167" s="214"/>
      <c r="J167" s="368"/>
    </row>
    <row r="168" spans="2:13" s="179" customFormat="1" ht="15.75" x14ac:dyDescent="0.25">
      <c r="B168" s="167" t="s">
        <v>1067</v>
      </c>
      <c r="C168" s="368"/>
      <c r="D168" s="370"/>
      <c r="E168" s="213" t="s">
        <v>677</v>
      </c>
      <c r="F168" s="330" t="s">
        <v>1209</v>
      </c>
      <c r="G168" s="330" t="s">
        <v>1073</v>
      </c>
      <c r="H168" s="330" t="s">
        <v>1213</v>
      </c>
      <c r="I168" s="214"/>
      <c r="J168" s="368"/>
    </row>
    <row r="169" spans="2:13" s="179" customFormat="1" ht="15.75" x14ac:dyDescent="0.25">
      <c r="B169" s="167"/>
      <c r="C169" s="368"/>
      <c r="D169" s="370"/>
      <c r="E169" s="213" t="s">
        <v>678</v>
      </c>
      <c r="F169" s="330" t="s">
        <v>1210</v>
      </c>
      <c r="G169" s="330" t="s">
        <v>1074</v>
      </c>
      <c r="H169" s="330" t="s">
        <v>1214</v>
      </c>
      <c r="I169" s="214"/>
      <c r="J169" s="368"/>
    </row>
    <row r="170" spans="2:13" s="179" customFormat="1" ht="30" x14ac:dyDescent="0.25">
      <c r="B170" s="168"/>
      <c r="C170" s="369"/>
      <c r="D170" s="370"/>
      <c r="E170" s="213" t="s">
        <v>679</v>
      </c>
      <c r="F170" s="156" t="s">
        <v>1211</v>
      </c>
      <c r="G170" s="156" t="s">
        <v>1075</v>
      </c>
      <c r="H170" s="156" t="s">
        <v>1215</v>
      </c>
      <c r="I170" s="156"/>
      <c r="J170" s="369"/>
    </row>
    <row r="171" spans="2:13" s="179" customFormat="1" ht="15.75" x14ac:dyDescent="0.25">
      <c r="B171" s="169" t="s">
        <v>1090</v>
      </c>
      <c r="C171" s="138"/>
      <c r="D171" s="147" t="s">
        <v>1089</v>
      </c>
      <c r="E171" s="213"/>
      <c r="F171" s="139">
        <v>410</v>
      </c>
      <c r="G171" s="139">
        <v>350</v>
      </c>
      <c r="H171" s="139">
        <v>600</v>
      </c>
      <c r="I171" s="145"/>
      <c r="J171" s="15">
        <f>MEDIAN(F171:I171)</f>
        <v>410</v>
      </c>
    </row>
    <row r="172" spans="2:13" s="179" customFormat="1" ht="15.75" x14ac:dyDescent="0.25">
      <c r="B172" s="169" t="s">
        <v>1097</v>
      </c>
      <c r="C172" s="138"/>
      <c r="D172" s="147" t="s">
        <v>184</v>
      </c>
      <c r="E172" s="219"/>
      <c r="F172" s="139">
        <v>150</v>
      </c>
      <c r="G172" s="139">
        <v>200</v>
      </c>
      <c r="H172" s="139">
        <v>250</v>
      </c>
      <c r="I172" s="139"/>
      <c r="J172" s="15">
        <f t="shared" ref="J172:J173" si="2">MEDIAN(F172:I172)</f>
        <v>200</v>
      </c>
    </row>
    <row r="173" spans="2:13" s="179" customFormat="1" ht="15.75" x14ac:dyDescent="0.25">
      <c r="B173" s="169" t="s">
        <v>1098</v>
      </c>
      <c r="C173" s="138"/>
      <c r="D173" s="147" t="s">
        <v>184</v>
      </c>
      <c r="E173" s="219"/>
      <c r="F173" s="139">
        <v>90</v>
      </c>
      <c r="G173" s="139">
        <v>100</v>
      </c>
      <c r="H173" s="139">
        <v>150</v>
      </c>
      <c r="I173" s="139"/>
      <c r="J173" s="15">
        <f t="shared" si="2"/>
        <v>100</v>
      </c>
    </row>
    <row r="174" spans="2:13" x14ac:dyDescent="0.25">
      <c r="H174" s="179"/>
    </row>
    <row r="1553" spans="6:6" x14ac:dyDescent="0.25">
      <c r="F1553" s="137" t="e">
        <f>'MAPA COTAÇÃO'!#REF!</f>
        <v>#REF!</v>
      </c>
    </row>
  </sheetData>
  <mergeCells count="83">
    <mergeCell ref="C149:C153"/>
    <mergeCell ref="D149:D153"/>
    <mergeCell ref="F149:I149"/>
    <mergeCell ref="J149:J153"/>
    <mergeCell ref="C135:C139"/>
    <mergeCell ref="D135:D139"/>
    <mergeCell ref="F135:I135"/>
    <mergeCell ref="J135:J139"/>
    <mergeCell ref="C142:C146"/>
    <mergeCell ref="D142:D146"/>
    <mergeCell ref="F142:I142"/>
    <mergeCell ref="J142:J146"/>
    <mergeCell ref="C166:C170"/>
    <mergeCell ref="D166:D170"/>
    <mergeCell ref="F166:I166"/>
    <mergeCell ref="J166:J170"/>
    <mergeCell ref="C156:C160"/>
    <mergeCell ref="D156:D160"/>
    <mergeCell ref="F156:I156"/>
    <mergeCell ref="J156:J160"/>
    <mergeCell ref="C107:C111"/>
    <mergeCell ref="D107:D111"/>
    <mergeCell ref="F107:I107"/>
    <mergeCell ref="J107:J111"/>
    <mergeCell ref="C121:C125"/>
    <mergeCell ref="D121:D125"/>
    <mergeCell ref="F121:I121"/>
    <mergeCell ref="J121:J125"/>
    <mergeCell ref="C128:C132"/>
    <mergeCell ref="D128:D132"/>
    <mergeCell ref="F128:I128"/>
    <mergeCell ref="J128:J132"/>
    <mergeCell ref="C82:C86"/>
    <mergeCell ref="D82:D86"/>
    <mergeCell ref="F82:I82"/>
    <mergeCell ref="J82:J86"/>
    <mergeCell ref="C114:C118"/>
    <mergeCell ref="D114:D118"/>
    <mergeCell ref="F114:I114"/>
    <mergeCell ref="J114:J118"/>
    <mergeCell ref="C93:C97"/>
    <mergeCell ref="D93:D97"/>
    <mergeCell ref="F93:I93"/>
    <mergeCell ref="J93:J97"/>
    <mergeCell ref="D100:D104"/>
    <mergeCell ref="F100:I100"/>
    <mergeCell ref="J100:J104"/>
    <mergeCell ref="C100:C104"/>
    <mergeCell ref="C75:C79"/>
    <mergeCell ref="D75:D79"/>
    <mergeCell ref="F75:I75"/>
    <mergeCell ref="J75:J79"/>
    <mergeCell ref="C68:C72"/>
    <mergeCell ref="D68:D72"/>
    <mergeCell ref="F68:I68"/>
    <mergeCell ref="J68:J72"/>
    <mergeCell ref="C34:C38"/>
    <mergeCell ref="J50:J54"/>
    <mergeCell ref="C60:C64"/>
    <mergeCell ref="D60:D64"/>
    <mergeCell ref="F60:I60"/>
    <mergeCell ref="J60:J64"/>
    <mergeCell ref="F42:I42"/>
    <mergeCell ref="J42:J46"/>
    <mergeCell ref="D34:D38"/>
    <mergeCell ref="F34:I34"/>
    <mergeCell ref="J34:J38"/>
    <mergeCell ref="J20:J25"/>
    <mergeCell ref="C6:I6"/>
    <mergeCell ref="C50:C54"/>
    <mergeCell ref="D50:D54"/>
    <mergeCell ref="F50:I50"/>
    <mergeCell ref="J15:J19"/>
    <mergeCell ref="D27:D31"/>
    <mergeCell ref="F27:I27"/>
    <mergeCell ref="J27:J31"/>
    <mergeCell ref="D15:D19"/>
    <mergeCell ref="F15:I15"/>
    <mergeCell ref="D8:D12"/>
    <mergeCell ref="F8:I8"/>
    <mergeCell ref="J8:J12"/>
    <mergeCell ref="C42:C46"/>
    <mergeCell ref="D42:D46"/>
  </mergeCells>
  <hyperlinks>
    <hyperlink ref="F31" r:id="rId1"/>
    <hyperlink ref="F12" r:id="rId2" display="rodrigomello@casasaopaulo.com"/>
    <hyperlink ref="G12" r:id="rId3" display="andaimesctb@gmail.com"/>
    <hyperlink ref="F132" r:id="rId4"/>
    <hyperlink ref="G132" r:id="rId5"/>
    <hyperlink ref="F153" r:id="rId6"/>
    <hyperlink ref="F97" r:id="rId7"/>
    <hyperlink ref="F111" r:id="rId8"/>
    <hyperlink ref="G118" r:id="rId9"/>
    <hyperlink ref="G104" r:id="rId10"/>
    <hyperlink ref="G111" r:id="rId11"/>
    <hyperlink ref="G97" r:id="rId12"/>
    <hyperlink ref="G125" r:id="rId13"/>
    <hyperlink ref="F125" r:id="rId14"/>
    <hyperlink ref="H97" r:id="rId15"/>
    <hyperlink ref="H111" r:id="rId16"/>
    <hyperlink ref="H118" r:id="rId17"/>
    <hyperlink ref="H125" r:id="rId18"/>
    <hyperlink ref="H139" r:id="rId19"/>
    <hyperlink ref="G146" r:id="rId20"/>
    <hyperlink ref="H146" r:id="rId21"/>
    <hyperlink ref="G64" r:id="rId22"/>
    <hyperlink ref="H86" r:id="rId23"/>
    <hyperlink ref="G79" r:id="rId24"/>
    <hyperlink ref="F79" r:id="rId25"/>
    <hyperlink ref="H72" r:id="rId26"/>
    <hyperlink ref="H104" r:id="rId27"/>
    <hyperlink ref="G170" r:id="rId28"/>
    <hyperlink ref="H12" r:id="rId29"/>
    <hyperlink ref="F64" r:id="rId30"/>
    <hyperlink ref="G72" r:id="rId31"/>
    <hyperlink ref="F160" r:id="rId32"/>
    <hyperlink ref="G160" r:id="rId33"/>
    <hyperlink ref="H160" r:id="rId34"/>
    <hyperlink ref="H170" r:id="rId35"/>
    <hyperlink ref="H19" r:id="rId36"/>
    <hyperlink ref="G19" r:id="rId37" display="contato@valentinadecor.com.br"/>
    <hyperlink ref="H46" r:id="rId38"/>
    <hyperlink ref="F19" r:id="rId39"/>
    <hyperlink ref="I46" r:id="rId40"/>
    <hyperlink ref="H64" r:id="rId41"/>
    <hyperlink ref="H79" r:id="rId42"/>
    <hyperlink ref="F118" r:id="rId43"/>
    <hyperlink ref="G153" r:id="rId44"/>
    <hyperlink ref="I160" r:id="rId45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47" orientation="landscape" horizontalDpi="4294967293" r:id="rId46"/>
  <drawing r:id="rId4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zoomScaleSheetLayoutView="100" workbookViewId="0"/>
  </sheetViews>
  <sheetFormatPr defaultRowHeight="15" x14ac:dyDescent="0.25"/>
  <cols>
    <col min="1" max="16384" width="9.140625" style="137"/>
  </cols>
  <sheetData/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6"/>
  <sheetViews>
    <sheetView workbookViewId="0"/>
  </sheetViews>
  <sheetFormatPr defaultRowHeight="15" x14ac:dyDescent="0.25"/>
  <cols>
    <col min="3" max="3" width="10" bestFit="1" customWidth="1"/>
    <col min="4" max="4" width="24.85546875" customWidth="1"/>
    <col min="5" max="5" width="13.140625" customWidth="1"/>
  </cols>
  <sheetData>
    <row r="2" spans="3:5" s="179" customFormat="1" ht="15.75" x14ac:dyDescent="0.25">
      <c r="D2" s="253" t="s">
        <v>1110</v>
      </c>
      <c r="E2" s="254"/>
    </row>
    <row r="3" spans="3:5" s="179" customFormat="1" x14ac:dyDescent="0.25">
      <c r="D3" s="255" t="s">
        <v>1111</v>
      </c>
    </row>
    <row r="4" spans="3:5" s="179" customFormat="1" x14ac:dyDescent="0.25">
      <c r="D4" s="256" t="s">
        <v>1112</v>
      </c>
    </row>
    <row r="6" spans="3:5" x14ac:dyDescent="0.25">
      <c r="D6" s="236" t="s">
        <v>1042</v>
      </c>
      <c r="E6" s="236"/>
    </row>
    <row r="8" spans="3:5" x14ac:dyDescent="0.25">
      <c r="D8" s="101" t="s">
        <v>386</v>
      </c>
      <c r="E8" s="102">
        <v>0.05</v>
      </c>
    </row>
    <row r="9" spans="3:5" x14ac:dyDescent="0.25">
      <c r="D9" s="101" t="s">
        <v>390</v>
      </c>
      <c r="E9" s="102">
        <v>5.7000000000000002E-3</v>
      </c>
    </row>
    <row r="10" spans="3:5" x14ac:dyDescent="0.25">
      <c r="D10" s="101" t="s">
        <v>388</v>
      </c>
      <c r="E10" s="102">
        <v>0.01</v>
      </c>
    </row>
    <row r="11" spans="3:5" x14ac:dyDescent="0.25">
      <c r="D11" s="101" t="s">
        <v>387</v>
      </c>
      <c r="E11" s="102">
        <v>6.4999999999999997E-3</v>
      </c>
    </row>
    <row r="12" spans="3:5" x14ac:dyDescent="0.25">
      <c r="D12" s="101" t="s">
        <v>389</v>
      </c>
      <c r="E12" s="207">
        <v>7.4999999999999997E-2</v>
      </c>
    </row>
    <row r="13" spans="3:5" s="24" customFormat="1" x14ac:dyDescent="0.25">
      <c r="D13" s="103" t="s">
        <v>383</v>
      </c>
      <c r="E13" s="208">
        <f>0.04*'PLAN ORC'!E236</f>
        <v>2.5611891030136724E-2</v>
      </c>
    </row>
    <row r="14" spans="3:5" x14ac:dyDescent="0.25">
      <c r="D14" s="101" t="s">
        <v>384</v>
      </c>
      <c r="E14" s="207">
        <v>6.4999999999999997E-3</v>
      </c>
    </row>
    <row r="15" spans="3:5" x14ac:dyDescent="0.25">
      <c r="D15" s="101" t="s">
        <v>385</v>
      </c>
      <c r="E15" s="207">
        <v>0.03</v>
      </c>
    </row>
    <row r="16" spans="3:5" s="1" customFormat="1" x14ac:dyDescent="0.25">
      <c r="C16" s="24"/>
      <c r="D16" s="104"/>
      <c r="E16" s="105">
        <f>((1+E8+E9+E11)*(1+E10)*(1+E12)/(1-(E13+E14+E15))-1)</f>
        <v>0.22966016838268466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Z98"/>
  <sheetViews>
    <sheetView zoomScale="90" zoomScaleNormal="90" workbookViewId="0"/>
  </sheetViews>
  <sheetFormatPr defaultRowHeight="15" x14ac:dyDescent="0.25"/>
  <cols>
    <col min="1" max="1" width="3.5703125" style="179" customWidth="1"/>
    <col min="2" max="2" width="4.5703125" style="179" customWidth="1"/>
    <col min="3" max="3" width="5.28515625" style="179" bestFit="1" customWidth="1"/>
    <col min="4" max="4" width="25.28515625" style="179" bestFit="1" customWidth="1"/>
    <col min="5" max="5" width="113.140625" style="179" customWidth="1"/>
    <col min="6" max="6" width="17" style="179" customWidth="1"/>
    <col min="7" max="7" width="14.85546875" style="179" customWidth="1"/>
    <col min="8" max="8" width="12.85546875" style="179" bestFit="1" customWidth="1"/>
    <col min="9" max="9" width="14.5703125" style="179" customWidth="1"/>
    <col min="10" max="10" width="14.5703125" style="259" customWidth="1"/>
    <col min="11" max="11" width="12.7109375" style="179" bestFit="1" customWidth="1"/>
    <col min="12" max="12" width="14" style="179" customWidth="1"/>
    <col min="13" max="13" width="15.140625" style="259" customWidth="1"/>
    <col min="14" max="14" width="12.42578125" style="179" bestFit="1" customWidth="1"/>
    <col min="15" max="15" width="13.5703125" style="179" customWidth="1"/>
    <col min="16" max="16" width="14.5703125" style="259" customWidth="1"/>
    <col min="17" max="18" width="9.140625" style="179"/>
    <col min="19" max="19" width="12.7109375" style="179" bestFit="1" customWidth="1"/>
    <col min="20" max="20" width="9.140625" style="179"/>
    <col min="21" max="21" width="13.85546875" style="179" bestFit="1" customWidth="1"/>
    <col min="22" max="23" width="9.140625" style="179"/>
    <col min="24" max="24" width="21.42578125" style="179" bestFit="1" customWidth="1"/>
    <col min="25" max="25" width="9.140625" style="179"/>
    <col min="26" max="26" width="13.28515625" style="179" bestFit="1" customWidth="1"/>
    <col min="27" max="16384" width="9.140625" style="179"/>
  </cols>
  <sheetData>
    <row r="2" spans="5:26" x14ac:dyDescent="0.25">
      <c r="E2" s="179" t="s">
        <v>1113</v>
      </c>
      <c r="F2" s="377" t="s">
        <v>1114</v>
      </c>
      <c r="G2" s="378"/>
      <c r="H2" s="257">
        <v>3</v>
      </c>
      <c r="I2" s="10"/>
      <c r="J2" s="258"/>
      <c r="K2" s="10"/>
      <c r="L2" s="10"/>
      <c r="M2" s="258"/>
      <c r="N2" s="10"/>
      <c r="O2" s="10"/>
    </row>
    <row r="3" spans="5:26" ht="15.75" thickBot="1" x14ac:dyDescent="0.3">
      <c r="F3" s="260"/>
      <c r="G3" s="260"/>
      <c r="H3" s="260"/>
      <c r="I3" s="10"/>
      <c r="J3" s="258"/>
      <c r="K3" s="10"/>
      <c r="L3" s="10"/>
      <c r="M3" s="258"/>
      <c r="N3" s="10"/>
      <c r="O3" s="10"/>
    </row>
    <row r="4" spans="5:26" ht="15.75" thickBot="1" x14ac:dyDescent="0.3">
      <c r="H4" s="381" t="s">
        <v>1115</v>
      </c>
      <c r="I4" s="381"/>
      <c r="J4" s="381"/>
      <c r="K4" s="381" t="s">
        <v>1116</v>
      </c>
      <c r="L4" s="381"/>
      <c r="M4" s="381"/>
      <c r="N4" s="381" t="s">
        <v>1117</v>
      </c>
      <c r="O4" s="381"/>
      <c r="P4" s="381"/>
      <c r="S4" s="395" t="s">
        <v>1118</v>
      </c>
      <c r="T4" s="395"/>
      <c r="U4" s="395"/>
      <c r="V4" s="395"/>
      <c r="W4" s="395"/>
      <c r="X4" s="395"/>
      <c r="Y4" s="395"/>
      <c r="Z4" s="395"/>
    </row>
    <row r="5" spans="5:26" ht="48" thickBot="1" x14ac:dyDescent="0.3">
      <c r="E5" s="261" t="s">
        <v>1119</v>
      </c>
      <c r="F5" s="262" t="s">
        <v>1120</v>
      </c>
      <c r="G5" s="263" t="s">
        <v>1121</v>
      </c>
      <c r="H5" s="264" t="s">
        <v>1122</v>
      </c>
      <c r="I5" s="264" t="s">
        <v>1123</v>
      </c>
      <c r="J5" s="265" t="s">
        <v>1124</v>
      </c>
      <c r="K5" s="264" t="s">
        <v>1125</v>
      </c>
      <c r="L5" s="264" t="s">
        <v>1123</v>
      </c>
      <c r="M5" s="265" t="s">
        <v>1124</v>
      </c>
      <c r="N5" s="264" t="s">
        <v>1126</v>
      </c>
      <c r="O5" s="264" t="s">
        <v>1123</v>
      </c>
      <c r="P5" s="265" t="s">
        <v>1124</v>
      </c>
      <c r="S5" s="390" t="s">
        <v>187</v>
      </c>
      <c r="T5" s="391"/>
      <c r="U5" s="266" t="s">
        <v>1127</v>
      </c>
      <c r="V5" s="267" t="s">
        <v>1128</v>
      </c>
      <c r="X5" s="268" t="s">
        <v>1129</v>
      </c>
      <c r="Y5" s="269">
        <v>97.48</v>
      </c>
      <c r="Z5" s="270">
        <f>Y5*220</f>
        <v>21445.600000000002</v>
      </c>
    </row>
    <row r="6" spans="5:26" ht="16.5" thickBot="1" x14ac:dyDescent="0.3">
      <c r="E6" s="271" t="s">
        <v>1130</v>
      </c>
      <c r="F6" s="392" t="s">
        <v>1131</v>
      </c>
      <c r="G6" s="272">
        <v>1</v>
      </c>
      <c r="H6" s="273">
        <v>1</v>
      </c>
      <c r="I6" s="274">
        <v>0.5</v>
      </c>
      <c r="J6" s="275">
        <f>I6/G6</f>
        <v>0.5</v>
      </c>
      <c r="K6" s="273" t="s">
        <v>1132</v>
      </c>
      <c r="L6" s="274" t="s">
        <v>1132</v>
      </c>
      <c r="M6" s="275" t="s">
        <v>1132</v>
      </c>
      <c r="N6" s="273">
        <v>1</v>
      </c>
      <c r="O6" s="274">
        <v>0.5</v>
      </c>
      <c r="P6" s="275">
        <f>O6/G6</f>
        <v>0.5</v>
      </c>
      <c r="S6" s="276" t="s">
        <v>1133</v>
      </c>
      <c r="T6" s="277">
        <f>H2*SUM(J6:J12)</f>
        <v>6.8999999999999995</v>
      </c>
      <c r="U6" s="278">
        <f>Y7*T6</f>
        <v>177.399</v>
      </c>
      <c r="V6" s="279">
        <f>ROUND(T6/220,1)</f>
        <v>0</v>
      </c>
      <c r="X6" s="268" t="s">
        <v>1134</v>
      </c>
      <c r="Y6" s="280">
        <v>24.07</v>
      </c>
      <c r="Z6" s="270">
        <f>Y6*220</f>
        <v>5295.4</v>
      </c>
    </row>
    <row r="7" spans="5:26" ht="32.25" thickBot="1" x14ac:dyDescent="0.3">
      <c r="E7" s="285" t="s">
        <v>1177</v>
      </c>
      <c r="F7" s="393"/>
      <c r="G7" s="281">
        <v>1</v>
      </c>
      <c r="H7" s="273">
        <v>1</v>
      </c>
      <c r="I7" s="274">
        <v>0.5</v>
      </c>
      <c r="J7" s="275">
        <f t="shared" ref="J7:J12" si="0">I7/G7</f>
        <v>0.5</v>
      </c>
      <c r="K7" s="273">
        <v>1</v>
      </c>
      <c r="L7" s="274">
        <v>0.5</v>
      </c>
      <c r="M7" s="275">
        <f>L7/G7</f>
        <v>0.5</v>
      </c>
      <c r="N7" s="273" t="s">
        <v>1132</v>
      </c>
      <c r="O7" s="274" t="s">
        <v>1132</v>
      </c>
      <c r="P7" s="275" t="s">
        <v>1132</v>
      </c>
      <c r="S7" s="282" t="s">
        <v>1135</v>
      </c>
      <c r="T7" s="283">
        <f>H2*SUM(M6:M12)+H15*SUM(M19:M37)</f>
        <v>26.166666666666668</v>
      </c>
      <c r="U7" s="284">
        <f>Y6*T7</f>
        <v>629.83166666666671</v>
      </c>
      <c r="V7" s="279">
        <f t="shared" ref="V7:V8" si="1">ROUND(T7/220,1)</f>
        <v>0.1</v>
      </c>
      <c r="X7" s="268" t="s">
        <v>1136</v>
      </c>
      <c r="Y7" s="280">
        <v>25.71</v>
      </c>
      <c r="Z7" s="270">
        <f t="shared" ref="Z7:Z9" si="2">Y7*220</f>
        <v>5656.2</v>
      </c>
    </row>
    <row r="8" spans="5:26" ht="32.25" thickBot="1" x14ac:dyDescent="0.3">
      <c r="E8" s="289" t="s">
        <v>1139</v>
      </c>
      <c r="F8" s="393"/>
      <c r="G8" s="281">
        <v>1</v>
      </c>
      <c r="H8" s="273">
        <v>1</v>
      </c>
      <c r="I8" s="274">
        <v>0.5</v>
      </c>
      <c r="J8" s="275">
        <f t="shared" si="0"/>
        <v>0.5</v>
      </c>
      <c r="K8" s="273" t="s">
        <v>1132</v>
      </c>
      <c r="L8" s="274" t="s">
        <v>1132</v>
      </c>
      <c r="M8" s="275" t="s">
        <v>1132</v>
      </c>
      <c r="N8" s="273" t="s">
        <v>1132</v>
      </c>
      <c r="O8" s="274" t="s">
        <v>1132</v>
      </c>
      <c r="P8" s="275" t="s">
        <v>1132</v>
      </c>
      <c r="S8" s="286" t="s">
        <v>1137</v>
      </c>
      <c r="T8" s="287">
        <f>H2*SUM(P6:P12)+H15*SUM(P19:P37)</f>
        <v>44.666666666666671</v>
      </c>
      <c r="U8" s="288">
        <f>Y8*T8</f>
        <v>623.54666666666674</v>
      </c>
      <c r="V8" s="279">
        <f t="shared" si="1"/>
        <v>0.2</v>
      </c>
      <c r="X8" s="268" t="s">
        <v>1138</v>
      </c>
      <c r="Y8" s="280">
        <v>13.96</v>
      </c>
      <c r="Z8" s="270">
        <f t="shared" si="2"/>
        <v>3071.2000000000003</v>
      </c>
    </row>
    <row r="9" spans="5:26" ht="16.5" thickBot="1" x14ac:dyDescent="0.3">
      <c r="E9" s="285" t="s">
        <v>1143</v>
      </c>
      <c r="F9" s="394"/>
      <c r="G9" s="292">
        <v>1</v>
      </c>
      <c r="H9" s="273">
        <v>1</v>
      </c>
      <c r="I9" s="274">
        <v>0.5</v>
      </c>
      <c r="J9" s="275">
        <f t="shared" si="0"/>
        <v>0.5</v>
      </c>
      <c r="K9" s="273" t="s">
        <v>1132</v>
      </c>
      <c r="L9" s="274" t="s">
        <v>1132</v>
      </c>
      <c r="M9" s="275" t="s">
        <v>1132</v>
      </c>
      <c r="N9" s="273" t="s">
        <v>1132</v>
      </c>
      <c r="O9" s="274" t="s">
        <v>1132</v>
      </c>
      <c r="P9" s="275" t="s">
        <v>1132</v>
      </c>
      <c r="S9" s="375" t="s">
        <v>1140</v>
      </c>
      <c r="T9" s="376"/>
      <c r="U9" s="290">
        <f>SUM(U6:U8)</f>
        <v>1430.7773333333334</v>
      </c>
      <c r="V9" s="270"/>
      <c r="X9" s="268" t="s">
        <v>1141</v>
      </c>
      <c r="Y9" s="269">
        <v>20.61</v>
      </c>
      <c r="Z9" s="270">
        <f t="shared" si="2"/>
        <v>4534.2</v>
      </c>
    </row>
    <row r="10" spans="5:26" ht="16.5" thickBot="1" x14ac:dyDescent="0.3">
      <c r="E10" s="295" t="s">
        <v>1144</v>
      </c>
      <c r="F10" s="386" t="s">
        <v>1145</v>
      </c>
      <c r="G10" s="296">
        <v>6</v>
      </c>
      <c r="H10" s="273">
        <v>1</v>
      </c>
      <c r="I10" s="274">
        <v>0.5</v>
      </c>
      <c r="J10" s="275">
        <f t="shared" si="0"/>
        <v>8.3333333333333329E-2</v>
      </c>
      <c r="K10" s="273" t="s">
        <v>1132</v>
      </c>
      <c r="L10" s="274" t="s">
        <v>1132</v>
      </c>
      <c r="M10" s="275" t="s">
        <v>1132</v>
      </c>
      <c r="N10" s="273" t="s">
        <v>1132</v>
      </c>
      <c r="O10" s="274" t="s">
        <v>1132</v>
      </c>
      <c r="P10" s="275" t="s">
        <v>1132</v>
      </c>
      <c r="S10" s="382" t="s">
        <v>1142</v>
      </c>
      <c r="T10" s="383"/>
      <c r="U10" s="291">
        <f>U9*12</f>
        <v>17169.328000000001</v>
      </c>
    </row>
    <row r="11" spans="5:26" ht="16.5" thickBot="1" x14ac:dyDescent="0.3">
      <c r="E11" s="285" t="s">
        <v>1146</v>
      </c>
      <c r="F11" s="386"/>
      <c r="G11" s="281">
        <v>6</v>
      </c>
      <c r="H11" s="273">
        <v>1</v>
      </c>
      <c r="I11" s="274">
        <v>1</v>
      </c>
      <c r="J11" s="275">
        <f t="shared" si="0"/>
        <v>0.16666666666666666</v>
      </c>
      <c r="K11" s="273" t="s">
        <v>1132</v>
      </c>
      <c r="L11" s="274" t="s">
        <v>1132</v>
      </c>
      <c r="M11" s="275" t="s">
        <v>1132</v>
      </c>
      <c r="N11" s="273" t="s">
        <v>1132</v>
      </c>
      <c r="O11" s="274" t="s">
        <v>1132</v>
      </c>
      <c r="P11" s="275" t="s">
        <v>1132</v>
      </c>
    </row>
    <row r="12" spans="5:26" ht="32.25" thickBot="1" x14ac:dyDescent="0.3">
      <c r="E12" s="297" t="s">
        <v>1147</v>
      </c>
      <c r="F12" s="387"/>
      <c r="G12" s="281">
        <v>6</v>
      </c>
      <c r="H12" s="273">
        <v>1</v>
      </c>
      <c r="I12" s="274">
        <v>0.3</v>
      </c>
      <c r="J12" s="275">
        <f t="shared" si="0"/>
        <v>4.9999999999999996E-2</v>
      </c>
      <c r="K12" s="273" t="s">
        <v>1132</v>
      </c>
      <c r="L12" s="274" t="s">
        <v>1132</v>
      </c>
      <c r="M12" s="275" t="s">
        <v>1132</v>
      </c>
      <c r="N12" s="273" t="s">
        <v>1132</v>
      </c>
      <c r="O12" s="274" t="s">
        <v>1132</v>
      </c>
      <c r="P12" s="275" t="s">
        <v>1132</v>
      </c>
      <c r="S12" s="384" t="s">
        <v>359</v>
      </c>
      <c r="T12" s="385"/>
      <c r="U12" s="293" t="s">
        <v>1127</v>
      </c>
      <c r="V12" s="294" t="s">
        <v>1128</v>
      </c>
      <c r="X12" s="268" t="s">
        <v>1129</v>
      </c>
      <c r="Y12" s="269">
        <v>97.48</v>
      </c>
      <c r="Z12" s="270">
        <f>Y12*220</f>
        <v>21445.600000000002</v>
      </c>
    </row>
    <row r="13" spans="5:26" x14ac:dyDescent="0.25">
      <c r="S13" s="276" t="s">
        <v>1133</v>
      </c>
      <c r="T13" s="277">
        <f>H2*SUM(J6:J9)</f>
        <v>6</v>
      </c>
      <c r="U13" s="278">
        <f>Y14*T13</f>
        <v>154.26</v>
      </c>
      <c r="V13" s="279">
        <f>ROUND(T13/220,1)</f>
        <v>0</v>
      </c>
      <c r="X13" s="268" t="s">
        <v>1134</v>
      </c>
      <c r="Y13" s="280">
        <v>24.07</v>
      </c>
      <c r="Z13" s="270">
        <f>Y13*220</f>
        <v>5295.4</v>
      </c>
    </row>
    <row r="14" spans="5:26" x14ac:dyDescent="0.25">
      <c r="S14" s="282" t="s">
        <v>1135</v>
      </c>
      <c r="T14" s="283">
        <f>H2*SUM(M6:M9)+H15*(M19+SUM(M28:M30)+SUM(M32:M35))</f>
        <v>23.700000000000003</v>
      </c>
      <c r="U14" s="284">
        <f>Y13*T14</f>
        <v>570.45900000000006</v>
      </c>
      <c r="V14" s="279">
        <f t="shared" ref="V14:V15" si="3">ROUND(T14/220,1)</f>
        <v>0.1</v>
      </c>
      <c r="X14" s="268" t="s">
        <v>1136</v>
      </c>
      <c r="Y14" s="280">
        <v>25.71</v>
      </c>
      <c r="Z14" s="270">
        <f t="shared" ref="Z14:Z16" si="4">Y14*220</f>
        <v>5656.2</v>
      </c>
    </row>
    <row r="15" spans="5:26" ht="15.75" x14ac:dyDescent="0.25">
      <c r="E15" s="298" t="s">
        <v>1180</v>
      </c>
      <c r="F15" s="377" t="s">
        <v>1114</v>
      </c>
      <c r="G15" s="378"/>
      <c r="H15" s="257">
        <v>37</v>
      </c>
      <c r="I15" s="10"/>
      <c r="J15" s="258"/>
      <c r="K15" s="10"/>
      <c r="L15" s="10"/>
      <c r="M15" s="258"/>
      <c r="N15" s="10"/>
      <c r="O15" s="10"/>
      <c r="S15" s="286" t="s">
        <v>1137</v>
      </c>
      <c r="T15" s="287">
        <f>H2*P6+H15*(P23+P26+P30+SUM(P32:P35))</f>
        <v>29.25</v>
      </c>
      <c r="U15" s="288">
        <f>Y15*T15</f>
        <v>408.33000000000004</v>
      </c>
      <c r="V15" s="279">
        <f t="shared" si="3"/>
        <v>0.1</v>
      </c>
      <c r="X15" s="268" t="s">
        <v>1138</v>
      </c>
      <c r="Y15" s="280">
        <v>13.96</v>
      </c>
      <c r="Z15" s="270">
        <f t="shared" si="4"/>
        <v>3071.2000000000003</v>
      </c>
    </row>
    <row r="16" spans="5:26" ht="16.5" thickBot="1" x14ac:dyDescent="0.3">
      <c r="E16" s="298"/>
      <c r="F16" s="260"/>
      <c r="G16" s="260"/>
      <c r="H16" s="260"/>
      <c r="I16" s="10"/>
      <c r="J16" s="258"/>
      <c r="K16" s="10"/>
      <c r="L16" s="10"/>
      <c r="M16" s="258"/>
      <c r="N16" s="10"/>
      <c r="O16" s="10"/>
      <c r="S16" s="375" t="s">
        <v>1140</v>
      </c>
      <c r="T16" s="376"/>
      <c r="U16" s="290">
        <f>SUM(U13:U15)</f>
        <v>1133.049</v>
      </c>
      <c r="V16" s="270"/>
      <c r="X16" s="268" t="s">
        <v>1141</v>
      </c>
      <c r="Y16" s="269">
        <v>20.61</v>
      </c>
      <c r="Z16" s="270">
        <f t="shared" si="4"/>
        <v>4534.2</v>
      </c>
    </row>
    <row r="17" spans="5:26" ht="16.5" thickBot="1" x14ac:dyDescent="0.3">
      <c r="E17" s="298"/>
      <c r="H17" s="381" t="s">
        <v>1115</v>
      </c>
      <c r="I17" s="381"/>
      <c r="J17" s="381"/>
      <c r="K17" s="381" t="s">
        <v>1116</v>
      </c>
      <c r="L17" s="381"/>
      <c r="M17" s="381"/>
      <c r="N17" s="381" t="s">
        <v>1117</v>
      </c>
      <c r="O17" s="381"/>
      <c r="P17" s="381"/>
    </row>
    <row r="18" spans="5:26" ht="48" thickBot="1" x14ac:dyDescent="0.3">
      <c r="E18" s="301" t="s">
        <v>1119</v>
      </c>
      <c r="F18" s="262" t="s">
        <v>1120</v>
      </c>
      <c r="G18" s="263" t="s">
        <v>1121</v>
      </c>
      <c r="H18" s="302" t="s">
        <v>1122</v>
      </c>
      <c r="I18" s="302" t="s">
        <v>1123</v>
      </c>
      <c r="J18" s="303" t="s">
        <v>1124</v>
      </c>
      <c r="K18" s="302" t="s">
        <v>1125</v>
      </c>
      <c r="L18" s="302" t="s">
        <v>1123</v>
      </c>
      <c r="M18" s="303" t="s">
        <v>1124</v>
      </c>
      <c r="N18" s="302" t="s">
        <v>1126</v>
      </c>
      <c r="O18" s="302" t="s">
        <v>1123</v>
      </c>
      <c r="P18" s="303" t="s">
        <v>1124</v>
      </c>
      <c r="S18" s="379" t="s">
        <v>356</v>
      </c>
      <c r="T18" s="380"/>
      <c r="U18" s="299" t="s">
        <v>1127</v>
      </c>
      <c r="V18" s="300" t="s">
        <v>1128</v>
      </c>
      <c r="X18" s="268" t="s">
        <v>1129</v>
      </c>
      <c r="Y18" s="269">
        <v>97.48</v>
      </c>
      <c r="Z18" s="270">
        <f>Y18*220</f>
        <v>21445.600000000002</v>
      </c>
    </row>
    <row r="19" spans="5:26" ht="16.5" thickBot="1" x14ac:dyDescent="0.3">
      <c r="E19" s="271" t="s">
        <v>1148</v>
      </c>
      <c r="F19" s="304" t="s">
        <v>1131</v>
      </c>
      <c r="G19" s="305">
        <v>1</v>
      </c>
      <c r="H19" s="273" t="s">
        <v>1132</v>
      </c>
      <c r="I19" s="274" t="s">
        <v>1132</v>
      </c>
      <c r="J19" s="275" t="s">
        <v>1132</v>
      </c>
      <c r="K19" s="273">
        <v>1</v>
      </c>
      <c r="L19" s="274">
        <v>0.2</v>
      </c>
      <c r="M19" s="275">
        <f>L19/G19</f>
        <v>0.2</v>
      </c>
      <c r="N19" s="273" t="s">
        <v>1132</v>
      </c>
      <c r="O19" s="274" t="s">
        <v>1132</v>
      </c>
      <c r="P19" s="275" t="s">
        <v>1132</v>
      </c>
      <c r="S19" s="276" t="s">
        <v>1133</v>
      </c>
      <c r="T19" s="277">
        <f>H2*SUM(J10:J12)</f>
        <v>0.89999999999999991</v>
      </c>
      <c r="U19" s="278">
        <f>Y20*T19</f>
        <v>23.138999999999999</v>
      </c>
      <c r="V19" s="279">
        <f>ROUND(T19/220,1)</f>
        <v>0</v>
      </c>
      <c r="X19" s="268" t="s">
        <v>1134</v>
      </c>
      <c r="Y19" s="280">
        <v>24.07</v>
      </c>
      <c r="Z19" s="270">
        <f>Y19*220</f>
        <v>5295.4</v>
      </c>
    </row>
    <row r="20" spans="5:26" ht="16.5" thickBot="1" x14ac:dyDescent="0.3">
      <c r="E20" s="271" t="s">
        <v>1150</v>
      </c>
      <c r="F20" s="306" t="s">
        <v>1151</v>
      </c>
      <c r="G20" s="307">
        <v>12</v>
      </c>
      <c r="H20" s="273" t="s">
        <v>1132</v>
      </c>
      <c r="I20" s="274" t="s">
        <v>1132</v>
      </c>
      <c r="J20" s="275" t="s">
        <v>1132</v>
      </c>
      <c r="K20" s="273" t="s">
        <v>1132</v>
      </c>
      <c r="L20" s="274" t="s">
        <v>1132</v>
      </c>
      <c r="M20" s="275" t="s">
        <v>1132</v>
      </c>
      <c r="N20" s="273">
        <v>1</v>
      </c>
      <c r="O20" s="274">
        <v>1</v>
      </c>
      <c r="P20" s="275">
        <f>O20/G20</f>
        <v>8.3333333333333329E-2</v>
      </c>
      <c r="S20" s="282" t="s">
        <v>1135</v>
      </c>
      <c r="T20" s="283">
        <f>H15*M25</f>
        <v>0.30833333333333335</v>
      </c>
      <c r="U20" s="284">
        <f>Y19*T20</f>
        <v>7.4215833333333334</v>
      </c>
      <c r="V20" s="279">
        <f t="shared" ref="V20:V21" si="5">ROUND(T20/220,1)</f>
        <v>0</v>
      </c>
      <c r="X20" s="268" t="s">
        <v>1136</v>
      </c>
      <c r="Y20" s="280">
        <v>25.71</v>
      </c>
      <c r="Z20" s="270">
        <f t="shared" ref="Z20:Z22" si="6">Y20*220</f>
        <v>5656.2</v>
      </c>
    </row>
    <row r="21" spans="5:26" ht="16.5" thickBot="1" x14ac:dyDescent="0.3">
      <c r="E21" s="271" t="s">
        <v>1152</v>
      </c>
      <c r="F21" s="306" t="s">
        <v>1151</v>
      </c>
      <c r="G21" s="307">
        <v>12</v>
      </c>
      <c r="H21" s="273" t="s">
        <v>1132</v>
      </c>
      <c r="I21" s="274" t="s">
        <v>1132</v>
      </c>
      <c r="J21" s="275" t="s">
        <v>1132</v>
      </c>
      <c r="K21" s="273">
        <v>1</v>
      </c>
      <c r="L21" s="274">
        <v>0.1</v>
      </c>
      <c r="M21" s="275">
        <f t="shared" ref="M21:M25" si="7">L21/G21</f>
        <v>8.3333333333333332E-3</v>
      </c>
      <c r="N21" s="273" t="s">
        <v>1132</v>
      </c>
      <c r="O21" s="274" t="s">
        <v>1132</v>
      </c>
      <c r="P21" s="275" t="s">
        <v>1132</v>
      </c>
      <c r="S21" s="286" t="s">
        <v>1137</v>
      </c>
      <c r="T21" s="287">
        <f>0</f>
        <v>0</v>
      </c>
      <c r="U21" s="288">
        <f>Y21*T21</f>
        <v>0</v>
      </c>
      <c r="V21" s="279">
        <f t="shared" si="5"/>
        <v>0</v>
      </c>
      <c r="X21" s="268" t="s">
        <v>1138</v>
      </c>
      <c r="Y21" s="280">
        <v>13.96</v>
      </c>
      <c r="Z21" s="270">
        <f t="shared" si="6"/>
        <v>3071.2000000000003</v>
      </c>
    </row>
    <row r="22" spans="5:26" ht="16.5" thickBot="1" x14ac:dyDescent="0.3">
      <c r="E22" s="271" t="s">
        <v>1153</v>
      </c>
      <c r="F22" s="306" t="s">
        <v>1151</v>
      </c>
      <c r="G22" s="307">
        <v>12</v>
      </c>
      <c r="H22" s="273" t="s">
        <v>1132</v>
      </c>
      <c r="I22" s="274" t="s">
        <v>1132</v>
      </c>
      <c r="J22" s="275" t="s">
        <v>1132</v>
      </c>
      <c r="K22" s="273">
        <v>1</v>
      </c>
      <c r="L22" s="274">
        <v>0.1</v>
      </c>
      <c r="M22" s="275">
        <f t="shared" si="7"/>
        <v>8.3333333333333332E-3</v>
      </c>
      <c r="N22" s="273" t="s">
        <v>1132</v>
      </c>
      <c r="O22" s="274" t="s">
        <v>1132</v>
      </c>
      <c r="P22" s="275" t="s">
        <v>1132</v>
      </c>
      <c r="S22" s="375" t="s">
        <v>1149</v>
      </c>
      <c r="T22" s="376"/>
      <c r="U22" s="290">
        <f>SUM(U19:U21)*6</f>
        <v>183.36349999999999</v>
      </c>
      <c r="V22" s="270"/>
      <c r="X22" s="268" t="s">
        <v>1141</v>
      </c>
      <c r="Y22" s="269">
        <v>20.61</v>
      </c>
      <c r="Z22" s="270">
        <f t="shared" si="6"/>
        <v>4534.2</v>
      </c>
    </row>
    <row r="23" spans="5:26" ht="16.5" thickBot="1" x14ac:dyDescent="0.3">
      <c r="E23" s="271" t="s">
        <v>1154</v>
      </c>
      <c r="F23" s="310" t="s">
        <v>1131</v>
      </c>
      <c r="G23" s="307">
        <v>1</v>
      </c>
      <c r="H23" s="273" t="s">
        <v>1132</v>
      </c>
      <c r="I23" s="274" t="s">
        <v>1132</v>
      </c>
      <c r="J23" s="275" t="s">
        <v>1132</v>
      </c>
      <c r="K23" s="273" t="s">
        <v>1132</v>
      </c>
      <c r="L23" s="274" t="s">
        <v>1132</v>
      </c>
      <c r="M23" s="275" t="s">
        <v>1132</v>
      </c>
      <c r="N23" s="273">
        <v>1</v>
      </c>
      <c r="O23" s="274">
        <v>0.1</v>
      </c>
      <c r="P23" s="275">
        <f>O23/G23</f>
        <v>0.1</v>
      </c>
    </row>
    <row r="24" spans="5:26" ht="16.5" thickBot="1" x14ac:dyDescent="0.3">
      <c r="E24" s="271" t="s">
        <v>1155</v>
      </c>
      <c r="F24" s="306" t="s">
        <v>1151</v>
      </c>
      <c r="G24" s="307">
        <v>12</v>
      </c>
      <c r="H24" s="273" t="s">
        <v>1132</v>
      </c>
      <c r="I24" s="274" t="s">
        <v>1132</v>
      </c>
      <c r="J24" s="275" t="s">
        <v>1132</v>
      </c>
      <c r="K24" s="273" t="s">
        <v>1132</v>
      </c>
      <c r="L24" s="274" t="s">
        <v>1132</v>
      </c>
      <c r="M24" s="275" t="s">
        <v>1132</v>
      </c>
      <c r="N24" s="273">
        <v>1</v>
      </c>
      <c r="O24" s="274">
        <v>1</v>
      </c>
      <c r="P24" s="275">
        <f>O24/G24</f>
        <v>8.3333333333333329E-2</v>
      </c>
      <c r="S24" s="388" t="s">
        <v>358</v>
      </c>
      <c r="T24" s="389"/>
      <c r="U24" s="308" t="s">
        <v>1127</v>
      </c>
      <c r="V24" s="309" t="s">
        <v>1128</v>
      </c>
      <c r="X24" s="268" t="s">
        <v>1129</v>
      </c>
      <c r="Y24" s="269">
        <v>97.48</v>
      </c>
      <c r="Z24" s="270">
        <f>Y24*220</f>
        <v>21445.600000000002</v>
      </c>
    </row>
    <row r="25" spans="5:26" ht="16.5" thickBot="1" x14ac:dyDescent="0.3">
      <c r="E25" s="271" t="s">
        <v>1156</v>
      </c>
      <c r="F25" s="311" t="s">
        <v>1145</v>
      </c>
      <c r="G25" s="307">
        <v>6</v>
      </c>
      <c r="H25" s="273" t="s">
        <v>1132</v>
      </c>
      <c r="I25" s="274" t="s">
        <v>1132</v>
      </c>
      <c r="J25" s="275" t="s">
        <v>1132</v>
      </c>
      <c r="K25" s="273">
        <v>1</v>
      </c>
      <c r="L25" s="274">
        <v>0.05</v>
      </c>
      <c r="M25" s="275">
        <f t="shared" si="7"/>
        <v>8.3333333333333332E-3</v>
      </c>
      <c r="N25" s="273" t="s">
        <v>1132</v>
      </c>
      <c r="O25" s="274" t="s">
        <v>1132</v>
      </c>
      <c r="P25" s="275" t="s">
        <v>1132</v>
      </c>
      <c r="S25" s="276" t="s">
        <v>1133</v>
      </c>
      <c r="T25" s="277">
        <f>0</f>
        <v>0</v>
      </c>
      <c r="U25" s="278">
        <f>Y26*T25</f>
        <v>0</v>
      </c>
      <c r="V25" s="279">
        <f>ROUND(T25/220,1)</f>
        <v>0</v>
      </c>
      <c r="X25" s="268" t="s">
        <v>1134</v>
      </c>
      <c r="Y25" s="280">
        <v>24.07</v>
      </c>
      <c r="Z25" s="270">
        <f>Y25*220</f>
        <v>5295.4</v>
      </c>
    </row>
    <row r="26" spans="5:26" ht="16.5" thickBot="1" x14ac:dyDescent="0.3">
      <c r="E26" s="271" t="s">
        <v>1158</v>
      </c>
      <c r="F26" s="310" t="s">
        <v>1131</v>
      </c>
      <c r="G26" s="307">
        <v>1</v>
      </c>
      <c r="H26" s="273" t="s">
        <v>1132</v>
      </c>
      <c r="I26" s="274" t="s">
        <v>1132</v>
      </c>
      <c r="J26" s="275" t="s">
        <v>1132</v>
      </c>
      <c r="K26" s="273" t="s">
        <v>1132</v>
      </c>
      <c r="L26" s="274" t="s">
        <v>1132</v>
      </c>
      <c r="M26" s="275" t="s">
        <v>1132</v>
      </c>
      <c r="N26" s="273">
        <v>1</v>
      </c>
      <c r="O26" s="274">
        <v>0.25</v>
      </c>
      <c r="P26" s="275">
        <f>O26/G26</f>
        <v>0.25</v>
      </c>
      <c r="S26" s="282" t="s">
        <v>1135</v>
      </c>
      <c r="T26" s="283">
        <f>H15*(SUM(M21:M22)+SUM(M36:M37))</f>
        <v>2.1583333333333332</v>
      </c>
      <c r="U26" s="284">
        <f>Y25*T26</f>
        <v>51.95108333333333</v>
      </c>
      <c r="V26" s="279">
        <f t="shared" ref="V26:V27" si="8">ROUND(T26/220,1)</f>
        <v>0</v>
      </c>
      <c r="X26" s="268" t="s">
        <v>1136</v>
      </c>
      <c r="Y26" s="280">
        <v>25.71</v>
      </c>
      <c r="Z26" s="270">
        <f t="shared" ref="Z26:Z28" si="9">Y26*220</f>
        <v>5656.2</v>
      </c>
    </row>
    <row r="27" spans="5:26" ht="16.5" thickBot="1" x14ac:dyDescent="0.3">
      <c r="E27" s="271" t="s">
        <v>1159</v>
      </c>
      <c r="F27" s="306" t="s">
        <v>1151</v>
      </c>
      <c r="G27" s="307">
        <v>12</v>
      </c>
      <c r="H27" s="273" t="s">
        <v>1132</v>
      </c>
      <c r="I27" s="274" t="s">
        <v>1132</v>
      </c>
      <c r="J27" s="275" t="s">
        <v>1132</v>
      </c>
      <c r="K27" s="273" t="s">
        <v>1132</v>
      </c>
      <c r="L27" s="274" t="s">
        <v>1132</v>
      </c>
      <c r="M27" s="275" t="s">
        <v>1132</v>
      </c>
      <c r="N27" s="273">
        <v>1</v>
      </c>
      <c r="O27" s="274">
        <v>1</v>
      </c>
      <c r="P27" s="275">
        <f>O27/G27</f>
        <v>8.3333333333333329E-2</v>
      </c>
      <c r="S27" s="286" t="s">
        <v>1137</v>
      </c>
      <c r="T27" s="287">
        <f>H15*(P20+P24+P27+P31)</f>
        <v>15.416666666666666</v>
      </c>
      <c r="U27" s="288">
        <f>Y27*T27</f>
        <v>215.21666666666667</v>
      </c>
      <c r="V27" s="279">
        <f t="shared" si="8"/>
        <v>0.1</v>
      </c>
      <c r="X27" s="268" t="s">
        <v>1138</v>
      </c>
      <c r="Y27" s="280">
        <v>13.96</v>
      </c>
      <c r="Z27" s="270">
        <f t="shared" si="9"/>
        <v>3071.2000000000003</v>
      </c>
    </row>
    <row r="28" spans="5:26" ht="16.5" thickBot="1" x14ac:dyDescent="0.3">
      <c r="E28" s="271" t="s">
        <v>1161</v>
      </c>
      <c r="F28" s="310" t="s">
        <v>1131</v>
      </c>
      <c r="G28" s="307">
        <v>1</v>
      </c>
      <c r="H28" s="273" t="s">
        <v>1132</v>
      </c>
      <c r="I28" s="274" t="s">
        <v>1132</v>
      </c>
      <c r="J28" s="275" t="s">
        <v>1132</v>
      </c>
      <c r="K28" s="273">
        <v>1</v>
      </c>
      <c r="L28" s="274">
        <v>0.1</v>
      </c>
      <c r="M28" s="275">
        <f t="shared" ref="M28:M29" si="10">L28/G28</f>
        <v>0.1</v>
      </c>
      <c r="N28" s="273" t="s">
        <v>1132</v>
      </c>
      <c r="O28" s="274" t="s">
        <v>1132</v>
      </c>
      <c r="P28" s="275" t="s">
        <v>1132</v>
      </c>
      <c r="S28" s="375" t="s">
        <v>1157</v>
      </c>
      <c r="T28" s="376"/>
      <c r="U28" s="290">
        <f>SUM(U25:U27)*12</f>
        <v>3206.0129999999999</v>
      </c>
      <c r="V28" s="270"/>
      <c r="X28" s="268" t="s">
        <v>1141</v>
      </c>
      <c r="Y28" s="269">
        <v>20.61</v>
      </c>
      <c r="Z28" s="270">
        <f t="shared" si="9"/>
        <v>4534.2</v>
      </c>
    </row>
    <row r="29" spans="5:26" ht="16.5" thickBot="1" x14ac:dyDescent="0.3">
      <c r="E29" s="271" t="s">
        <v>1162</v>
      </c>
      <c r="F29" s="310" t="s">
        <v>1131</v>
      </c>
      <c r="G29" s="307">
        <v>1</v>
      </c>
      <c r="H29" s="273" t="s">
        <v>1132</v>
      </c>
      <c r="I29" s="274" t="s">
        <v>1132</v>
      </c>
      <c r="J29" s="275" t="s">
        <v>1132</v>
      </c>
      <c r="K29" s="273">
        <v>1</v>
      </c>
      <c r="L29" s="274">
        <v>0.1</v>
      </c>
      <c r="M29" s="275">
        <f t="shared" si="10"/>
        <v>0.1</v>
      </c>
      <c r="N29" s="273" t="s">
        <v>1132</v>
      </c>
      <c r="O29" s="274" t="s">
        <v>1132</v>
      </c>
      <c r="P29" s="275" t="s">
        <v>1132</v>
      </c>
    </row>
    <row r="30" spans="5:26" ht="16.5" thickBot="1" x14ac:dyDescent="0.3">
      <c r="E30" s="271" t="s">
        <v>1163</v>
      </c>
      <c r="F30" s="310" t="s">
        <v>1131</v>
      </c>
      <c r="G30" s="307">
        <v>1</v>
      </c>
      <c r="H30" s="273" t="s">
        <v>1132</v>
      </c>
      <c r="I30" s="274" t="s">
        <v>1132</v>
      </c>
      <c r="J30" s="275" t="s">
        <v>1132</v>
      </c>
      <c r="K30" s="273" t="s">
        <v>1132</v>
      </c>
      <c r="L30" s="274" t="s">
        <v>1132</v>
      </c>
      <c r="M30" s="275" t="s">
        <v>1132</v>
      </c>
      <c r="N30" s="273">
        <v>1</v>
      </c>
      <c r="O30" s="274">
        <v>0.2</v>
      </c>
      <c r="P30" s="275">
        <f>O30/G30</f>
        <v>0.2</v>
      </c>
      <c r="S30" s="179" t="s">
        <v>1160</v>
      </c>
      <c r="U30" s="291">
        <f>U16*12+U22*2+U28-U10</f>
        <v>0</v>
      </c>
    </row>
    <row r="31" spans="5:26" ht="16.5" thickBot="1" x14ac:dyDescent="0.3">
      <c r="E31" s="271" t="s">
        <v>1164</v>
      </c>
      <c r="F31" s="306" t="s">
        <v>1151</v>
      </c>
      <c r="G31" s="307">
        <v>12</v>
      </c>
      <c r="H31" s="273" t="s">
        <v>1132</v>
      </c>
      <c r="I31" s="274" t="s">
        <v>1132</v>
      </c>
      <c r="J31" s="275" t="s">
        <v>1132</v>
      </c>
      <c r="K31" s="273" t="s">
        <v>1132</v>
      </c>
      <c r="L31" s="274" t="s">
        <v>1132</v>
      </c>
      <c r="M31" s="275" t="s">
        <v>1132</v>
      </c>
      <c r="N31" s="273">
        <v>1</v>
      </c>
      <c r="O31" s="274">
        <v>2</v>
      </c>
      <c r="P31" s="275">
        <f>O31/G31</f>
        <v>0.16666666666666666</v>
      </c>
    </row>
    <row r="32" spans="5:26" ht="16.5" thickBot="1" x14ac:dyDescent="0.3">
      <c r="E32" s="271" t="s">
        <v>1165</v>
      </c>
      <c r="F32" s="310" t="s">
        <v>1131</v>
      </c>
      <c r="G32" s="307">
        <v>1</v>
      </c>
      <c r="H32" s="273" t="s">
        <v>1132</v>
      </c>
      <c r="I32" s="274" t="s">
        <v>1132</v>
      </c>
      <c r="J32" s="275" t="s">
        <v>1132</v>
      </c>
      <c r="K32" s="273" t="s">
        <v>1132</v>
      </c>
      <c r="L32" s="274" t="s">
        <v>1132</v>
      </c>
      <c r="M32" s="275" t="s">
        <v>1132</v>
      </c>
      <c r="N32" s="273">
        <v>1</v>
      </c>
      <c r="O32" s="274">
        <v>0.1</v>
      </c>
      <c r="P32" s="275">
        <f>O32/G32</f>
        <v>0.1</v>
      </c>
    </row>
    <row r="33" spans="4:16" ht="16.5" thickBot="1" x14ac:dyDescent="0.3">
      <c r="E33" s="271" t="s">
        <v>1166</v>
      </c>
      <c r="F33" s="310" t="s">
        <v>1131</v>
      </c>
      <c r="G33" s="307">
        <v>1</v>
      </c>
      <c r="H33" s="273" t="s">
        <v>1132</v>
      </c>
      <c r="I33" s="274" t="s">
        <v>1132</v>
      </c>
      <c r="J33" s="275" t="s">
        <v>1132</v>
      </c>
      <c r="K33" s="273">
        <v>1</v>
      </c>
      <c r="L33" s="274">
        <v>0.1</v>
      </c>
      <c r="M33" s="275">
        <f t="shared" ref="M33:M34" si="11">L33/G33</f>
        <v>0.1</v>
      </c>
      <c r="N33" s="273" t="s">
        <v>1132</v>
      </c>
      <c r="O33" s="274" t="s">
        <v>1132</v>
      </c>
      <c r="P33" s="275" t="s">
        <v>1132</v>
      </c>
    </row>
    <row r="34" spans="4:16" ht="16.5" thickBot="1" x14ac:dyDescent="0.3">
      <c r="E34" s="271" t="s">
        <v>1167</v>
      </c>
      <c r="F34" s="310" t="s">
        <v>1131</v>
      </c>
      <c r="G34" s="307">
        <v>1</v>
      </c>
      <c r="H34" s="273" t="s">
        <v>1132</v>
      </c>
      <c r="I34" s="274" t="s">
        <v>1132</v>
      </c>
      <c r="J34" s="275" t="s">
        <v>1132</v>
      </c>
      <c r="K34" s="273">
        <v>1</v>
      </c>
      <c r="L34" s="274">
        <v>0.1</v>
      </c>
      <c r="M34" s="275">
        <f t="shared" si="11"/>
        <v>0.1</v>
      </c>
      <c r="N34" s="273" t="s">
        <v>1132</v>
      </c>
      <c r="O34" s="274" t="s">
        <v>1132</v>
      </c>
      <c r="P34" s="275" t="s">
        <v>1132</v>
      </c>
    </row>
    <row r="35" spans="4:16" ht="16.5" thickBot="1" x14ac:dyDescent="0.3">
      <c r="E35" s="271" t="s">
        <v>1168</v>
      </c>
      <c r="F35" s="310" t="s">
        <v>1131</v>
      </c>
      <c r="G35" s="307">
        <v>1</v>
      </c>
      <c r="H35" s="273" t="s">
        <v>1132</v>
      </c>
      <c r="I35" s="274" t="s">
        <v>1132</v>
      </c>
      <c r="J35" s="275" t="s">
        <v>1132</v>
      </c>
      <c r="K35" s="273" t="s">
        <v>1132</v>
      </c>
      <c r="L35" s="274" t="s">
        <v>1132</v>
      </c>
      <c r="M35" s="275" t="s">
        <v>1132</v>
      </c>
      <c r="N35" s="273">
        <v>1</v>
      </c>
      <c r="O35" s="274">
        <v>0.1</v>
      </c>
      <c r="P35" s="275">
        <f>O35/G35</f>
        <v>0.1</v>
      </c>
    </row>
    <row r="36" spans="4:16" ht="16.5" thickBot="1" x14ac:dyDescent="0.3">
      <c r="E36" s="271" t="s">
        <v>1169</v>
      </c>
      <c r="F36" s="306" t="s">
        <v>1151</v>
      </c>
      <c r="G36" s="307">
        <v>12</v>
      </c>
      <c r="H36" s="273" t="s">
        <v>1132</v>
      </c>
      <c r="I36" s="274" t="s">
        <v>1132</v>
      </c>
      <c r="J36" s="275" t="s">
        <v>1132</v>
      </c>
      <c r="K36" s="273">
        <v>1</v>
      </c>
      <c r="L36" s="274">
        <v>0.25</v>
      </c>
      <c r="M36" s="275">
        <f>L36/G36</f>
        <v>2.0833333333333332E-2</v>
      </c>
      <c r="N36" s="273" t="s">
        <v>1132</v>
      </c>
      <c r="O36" s="274" t="s">
        <v>1132</v>
      </c>
      <c r="P36" s="275" t="s">
        <v>1132</v>
      </c>
    </row>
    <row r="37" spans="4:16" ht="16.5" thickBot="1" x14ac:dyDescent="0.3">
      <c r="E37" s="271" t="s">
        <v>1170</v>
      </c>
      <c r="F37" s="306" t="s">
        <v>1151</v>
      </c>
      <c r="G37" s="307">
        <v>12</v>
      </c>
      <c r="H37" s="273" t="s">
        <v>1132</v>
      </c>
      <c r="I37" s="274" t="s">
        <v>1132</v>
      </c>
      <c r="J37" s="275" t="s">
        <v>1132</v>
      </c>
      <c r="K37" s="273">
        <v>1</v>
      </c>
      <c r="L37" s="274">
        <v>0.25</v>
      </c>
      <c r="M37" s="275">
        <f>L37/G37</f>
        <v>2.0833333333333332E-2</v>
      </c>
      <c r="N37" s="273" t="s">
        <v>1132</v>
      </c>
      <c r="O37" s="274" t="s">
        <v>1132</v>
      </c>
      <c r="P37" s="275" t="s">
        <v>1132</v>
      </c>
    </row>
    <row r="38" spans="4:16" x14ac:dyDescent="0.25">
      <c r="H38" s="10"/>
      <c r="I38" s="10"/>
      <c r="J38" s="258"/>
      <c r="K38" s="10"/>
      <c r="L38" s="10"/>
      <c r="M38" s="258"/>
      <c r="N38" s="10"/>
      <c r="O38" s="10"/>
      <c r="P38" s="258"/>
    </row>
    <row r="44" spans="4:16" s="161" customFormat="1" x14ac:dyDescent="0.25">
      <c r="D44" s="179"/>
      <c r="E44" s="179"/>
      <c r="F44" s="179"/>
      <c r="G44" s="179"/>
      <c r="H44" s="179"/>
      <c r="I44" s="179"/>
      <c r="J44" s="259"/>
      <c r="K44" s="179"/>
      <c r="L44" s="179"/>
      <c r="M44" s="259"/>
      <c r="N44" s="179"/>
      <c r="O44" s="179"/>
      <c r="P44" s="259"/>
    </row>
    <row r="52" spans="3:3" x14ac:dyDescent="0.25">
      <c r="C52" s="161"/>
    </row>
    <row r="58" spans="3:3" x14ac:dyDescent="0.25">
      <c r="C58" s="161"/>
    </row>
    <row r="98" spans="3:16" s="161" customFormat="1" x14ac:dyDescent="0.25">
      <c r="C98" s="179"/>
      <c r="D98" s="179"/>
      <c r="E98" s="179"/>
      <c r="F98" s="179"/>
      <c r="G98" s="179"/>
      <c r="H98" s="179"/>
      <c r="I98" s="179"/>
      <c r="J98" s="259"/>
      <c r="K98" s="179"/>
      <c r="L98" s="179"/>
      <c r="M98" s="259"/>
      <c r="N98" s="179"/>
      <c r="O98" s="179"/>
      <c r="P98" s="259"/>
    </row>
  </sheetData>
  <mergeCells count="20">
    <mergeCell ref="S5:T5"/>
    <mergeCell ref="F6:F9"/>
    <mergeCell ref="F2:G2"/>
    <mergeCell ref="H4:J4"/>
    <mergeCell ref="K4:M4"/>
    <mergeCell ref="N4:P4"/>
    <mergeCell ref="S4:Z4"/>
    <mergeCell ref="S9:T9"/>
    <mergeCell ref="S10:T10"/>
    <mergeCell ref="S12:T12"/>
    <mergeCell ref="F10:F12"/>
    <mergeCell ref="S16:T16"/>
    <mergeCell ref="S24:T24"/>
    <mergeCell ref="S28:T28"/>
    <mergeCell ref="F15:G15"/>
    <mergeCell ref="S18:T18"/>
    <mergeCell ref="H17:J17"/>
    <mergeCell ref="K17:M17"/>
    <mergeCell ref="N17:P17"/>
    <mergeCell ref="S22:T22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PLAN ORC</vt:lpstr>
      <vt:lpstr>CCU</vt:lpstr>
      <vt:lpstr>MAPA COTAÇÃO</vt:lpstr>
      <vt:lpstr>ENCARGOS</vt:lpstr>
      <vt:lpstr>BDI</vt:lpstr>
      <vt:lpstr>Ar Cond-SC</vt:lpstr>
      <vt:lpstr>CCU!Area_de_impressao</vt:lpstr>
      <vt:lpstr>ENCARGOS!Area_de_impressao</vt:lpstr>
      <vt:lpstr>'MAPA COTAÇÃO'!Area_de_impressao</vt:lpstr>
      <vt:lpstr>'PLAN ORC'!Area_de_impressao</vt:lpstr>
    </vt:vector>
  </TitlesOfParts>
  <Company>TCU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DUFRAYER COELHO</dc:creator>
  <cp:lastModifiedBy>Julio Cesar de Freitas Guimaraes</cp:lastModifiedBy>
  <cp:lastPrinted>2018-04-13T13:28:20Z</cp:lastPrinted>
  <dcterms:created xsi:type="dcterms:W3CDTF">2017-11-22T16:36:42Z</dcterms:created>
  <dcterms:modified xsi:type="dcterms:W3CDTF">2018-04-17T16:32:30Z</dcterms:modified>
</cp:coreProperties>
</file>